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chnologies\_STOVES\Uganda\50 MEMD 2024\"/>
    </mc:Choice>
  </mc:AlternateContent>
  <xr:revisionPtr revIDLastSave="0" documentId="8_{16DDF184-4F0E-4042-8C5D-09719CBF80E4}" xr6:coauthVersionLast="47" xr6:coauthVersionMax="47" xr10:uidLastSave="{00000000-0000-0000-0000-000000000000}"/>
  <bookViews>
    <workbookView xWindow="28680" yWindow="-120" windowWidth="29040" windowHeight="15840" xr2:uid="{AD90D827-BDE0-4CB3-A9E0-585AF7896992}"/>
  </bookViews>
  <sheets>
    <sheet name="Dimensions" sheetId="18" r:id="rId1"/>
    <sheet name="MEMD 50" sheetId="17" r:id="rId2"/>
    <sheet name="MEMD 100" sheetId="19" r:id="rId3"/>
    <sheet name="MEMD 150" sheetId="20" r:id="rId4"/>
    <sheet name="MEMD 200" sheetId="21" r:id="rId5"/>
    <sheet name="MEMD 250" sheetId="22" r:id="rId6"/>
    <sheet name="MEMD 300" sheetId="23" r:id="rId7"/>
    <sheet name="MEMD 500" sheetId="24" r:id="rId8"/>
    <sheet name="MEMD 1000" sheetId="25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8" l="1"/>
  <c r="D228" i="17"/>
  <c r="D64" i="17"/>
  <c r="M19" i="17" l="1"/>
  <c r="D15" i="20"/>
  <c r="C221" i="17"/>
  <c r="I210" i="17"/>
  <c r="D204" i="17"/>
  <c r="I192" i="17"/>
  <c r="I191" i="17"/>
  <c r="I190" i="17"/>
  <c r="C186" i="17"/>
  <c r="D183" i="17"/>
  <c r="D184" i="17" s="1"/>
  <c r="D176" i="17"/>
  <c r="N170" i="17"/>
  <c r="E169" i="17"/>
  <c r="I167" i="17"/>
  <c r="I169" i="17" s="1"/>
  <c r="I170" i="17" s="1"/>
  <c r="C164" i="17"/>
  <c r="D157" i="17"/>
  <c r="D156" i="17"/>
  <c r="D148" i="17"/>
  <c r="D145" i="17"/>
  <c r="D146" i="17" s="1"/>
  <c r="D127" i="17"/>
  <c r="G120" i="17"/>
  <c r="D110" i="17"/>
  <c r="D109" i="17"/>
  <c r="D105" i="17"/>
  <c r="D104" i="17"/>
  <c r="D103" i="17"/>
  <c r="D61" i="17"/>
  <c r="D46" i="17"/>
  <c r="D45" i="17"/>
  <c r="D44" i="17"/>
  <c r="D43" i="17"/>
  <c r="D42" i="17"/>
  <c r="D189" i="17" s="1"/>
  <c r="D200" i="17" s="1"/>
  <c r="D201" i="17" s="1"/>
  <c r="D41" i="17"/>
  <c r="D33" i="17"/>
  <c r="D32" i="17"/>
  <c r="D31" i="17"/>
  <c r="D209" i="17" s="1"/>
  <c r="D25" i="17"/>
  <c r="D16" i="17"/>
  <c r="D85" i="17" s="1"/>
  <c r="D52" i="17" s="1"/>
  <c r="D14" i="17"/>
  <c r="D97" i="17" s="1"/>
  <c r="D9" i="17"/>
  <c r="E4" i="17"/>
  <c r="C221" i="19"/>
  <c r="I210" i="19"/>
  <c r="D204" i="19"/>
  <c r="D221" i="19" s="1"/>
  <c r="I192" i="19"/>
  <c r="I191" i="19"/>
  <c r="I190" i="19"/>
  <c r="C186" i="19"/>
  <c r="D183" i="19"/>
  <c r="D184" i="19" s="1"/>
  <c r="D176" i="19"/>
  <c r="N170" i="19"/>
  <c r="E169" i="19"/>
  <c r="I167" i="19"/>
  <c r="I169" i="19" s="1"/>
  <c r="I170" i="19" s="1"/>
  <c r="C164" i="19"/>
  <c r="D157" i="19"/>
  <c r="D156" i="19"/>
  <c r="D148" i="19"/>
  <c r="D145" i="19"/>
  <c r="D146" i="19" s="1"/>
  <c r="D127" i="19"/>
  <c r="G120" i="19"/>
  <c r="D110" i="19"/>
  <c r="D109" i="19"/>
  <c r="D105" i="19"/>
  <c r="D104" i="19"/>
  <c r="D103" i="19"/>
  <c r="D61" i="19"/>
  <c r="D46" i="19"/>
  <c r="D45" i="19"/>
  <c r="D44" i="19"/>
  <c r="D43" i="19"/>
  <c r="D42" i="19"/>
  <c r="D189" i="19" s="1"/>
  <c r="D41" i="19"/>
  <c r="D33" i="19"/>
  <c r="D32" i="19"/>
  <c r="D31" i="19"/>
  <c r="D209" i="19" s="1"/>
  <c r="D25" i="19"/>
  <c r="D16" i="19"/>
  <c r="D85" i="19" s="1"/>
  <c r="D14" i="19"/>
  <c r="D97" i="19" s="1"/>
  <c r="D9" i="19"/>
  <c r="D15" i="19" s="1"/>
  <c r="E4" i="19"/>
  <c r="C221" i="20"/>
  <c r="I210" i="20"/>
  <c r="D204" i="20"/>
  <c r="I192" i="20"/>
  <c r="I191" i="20"/>
  <c r="I190" i="20"/>
  <c r="C186" i="20"/>
  <c r="D183" i="20"/>
  <c r="D184" i="20" s="1"/>
  <c r="D176" i="20"/>
  <c r="N170" i="20"/>
  <c r="E169" i="20"/>
  <c r="I167" i="20"/>
  <c r="I169" i="20" s="1"/>
  <c r="I170" i="20" s="1"/>
  <c r="C164" i="20"/>
  <c r="D157" i="20"/>
  <c r="D156" i="20"/>
  <c r="D148" i="20"/>
  <c r="D145" i="20"/>
  <c r="D146" i="20" s="1"/>
  <c r="D127" i="20"/>
  <c r="G120" i="20"/>
  <c r="D110" i="20"/>
  <c r="D109" i="20"/>
  <c r="D105" i="20"/>
  <c r="D104" i="20"/>
  <c r="D103" i="20"/>
  <c r="D61" i="20"/>
  <c r="D46" i="20"/>
  <c r="D45" i="20"/>
  <c r="D44" i="20"/>
  <c r="D43" i="20"/>
  <c r="D42" i="20"/>
  <c r="D41" i="20"/>
  <c r="D33" i="20"/>
  <c r="D32" i="20"/>
  <c r="D31" i="20"/>
  <c r="D209" i="20" s="1"/>
  <c r="D25" i="20"/>
  <c r="D16" i="20"/>
  <c r="D17" i="20" s="1"/>
  <c r="D14" i="20"/>
  <c r="D97" i="20" s="1"/>
  <c r="D9" i="20"/>
  <c r="D18" i="20" s="1"/>
  <c r="E4" i="20"/>
  <c r="C221" i="25"/>
  <c r="I210" i="25"/>
  <c r="D204" i="25"/>
  <c r="I192" i="25"/>
  <c r="I191" i="25"/>
  <c r="I190" i="25"/>
  <c r="C186" i="25"/>
  <c r="D183" i="25"/>
  <c r="D184" i="25" s="1"/>
  <c r="D176" i="25"/>
  <c r="N170" i="25"/>
  <c r="E169" i="25"/>
  <c r="I167" i="25"/>
  <c r="I169" i="25" s="1"/>
  <c r="I170" i="25" s="1"/>
  <c r="C164" i="25"/>
  <c r="D157" i="25"/>
  <c r="D156" i="25"/>
  <c r="D148" i="25"/>
  <c r="D145" i="25"/>
  <c r="D146" i="25" s="1"/>
  <c r="D127" i="25"/>
  <c r="G120" i="25"/>
  <c r="D110" i="25"/>
  <c r="D109" i="25"/>
  <c r="D105" i="25"/>
  <c r="D104" i="25"/>
  <c r="D103" i="25"/>
  <c r="D61" i="25"/>
  <c r="D46" i="25"/>
  <c r="D45" i="25"/>
  <c r="D44" i="25"/>
  <c r="D43" i="25"/>
  <c r="D42" i="25"/>
  <c r="D41" i="25"/>
  <c r="D33" i="25"/>
  <c r="D32" i="25"/>
  <c r="D31" i="25"/>
  <c r="D209" i="25" s="1"/>
  <c r="D25" i="25"/>
  <c r="D16" i="25"/>
  <c r="D17" i="25" s="1"/>
  <c r="D14" i="25"/>
  <c r="D97" i="25" s="1"/>
  <c r="D9" i="25"/>
  <c r="E4" i="25"/>
  <c r="C221" i="24"/>
  <c r="I210" i="24"/>
  <c r="D204" i="24"/>
  <c r="I192" i="24"/>
  <c r="I191" i="24"/>
  <c r="I190" i="24"/>
  <c r="C186" i="24"/>
  <c r="D183" i="24"/>
  <c r="D184" i="24" s="1"/>
  <c r="D176" i="24"/>
  <c r="N170" i="24"/>
  <c r="E169" i="24"/>
  <c r="I167" i="24"/>
  <c r="I169" i="24" s="1"/>
  <c r="I170" i="24" s="1"/>
  <c r="C164" i="24"/>
  <c r="D157" i="24"/>
  <c r="D156" i="24"/>
  <c r="D148" i="24"/>
  <c r="D145" i="24"/>
  <c r="D146" i="24" s="1"/>
  <c r="D127" i="24"/>
  <c r="G120" i="24"/>
  <c r="D110" i="24"/>
  <c r="D109" i="24"/>
  <c r="D105" i="24"/>
  <c r="D104" i="24"/>
  <c r="D103" i="24"/>
  <c r="D61" i="24"/>
  <c r="D46" i="24"/>
  <c r="D45" i="24"/>
  <c r="D44" i="24"/>
  <c r="D43" i="24"/>
  <c r="D42" i="24"/>
  <c r="D41" i="24"/>
  <c r="D33" i="24"/>
  <c r="D32" i="24"/>
  <c r="D31" i="24"/>
  <c r="D209" i="24" s="1"/>
  <c r="D25" i="24"/>
  <c r="D16" i="24"/>
  <c r="D85" i="24" s="1"/>
  <c r="D14" i="24"/>
  <c r="D97" i="24" s="1"/>
  <c r="D9" i="24"/>
  <c r="E4" i="24"/>
  <c r="C221" i="21"/>
  <c r="I210" i="21"/>
  <c r="D204" i="21"/>
  <c r="I192" i="21"/>
  <c r="I191" i="21"/>
  <c r="I190" i="21"/>
  <c r="C186" i="21"/>
  <c r="D183" i="21"/>
  <c r="D184" i="21" s="1"/>
  <c r="D176" i="21"/>
  <c r="N170" i="21"/>
  <c r="E169" i="21"/>
  <c r="I167" i="21"/>
  <c r="I169" i="21" s="1"/>
  <c r="I170" i="21" s="1"/>
  <c r="C164" i="21"/>
  <c r="D157" i="21"/>
  <c r="D156" i="21"/>
  <c r="D148" i="21"/>
  <c r="D145" i="21"/>
  <c r="D146" i="21" s="1"/>
  <c r="D127" i="21"/>
  <c r="G120" i="21"/>
  <c r="D110" i="21"/>
  <c r="D109" i="21"/>
  <c r="D105" i="21"/>
  <c r="D104" i="21"/>
  <c r="D103" i="21"/>
  <c r="D61" i="21"/>
  <c r="D46" i="21"/>
  <c r="D45" i="21"/>
  <c r="D44" i="21"/>
  <c r="D43" i="21"/>
  <c r="D42" i="21"/>
  <c r="D41" i="21"/>
  <c r="D33" i="21"/>
  <c r="D32" i="21"/>
  <c r="D31" i="21"/>
  <c r="D209" i="21" s="1"/>
  <c r="D25" i="21"/>
  <c r="D16" i="21"/>
  <c r="D17" i="21" s="1"/>
  <c r="D14" i="21"/>
  <c r="D97" i="21" s="1"/>
  <c r="D9" i="21"/>
  <c r="E4" i="21"/>
  <c r="D18" i="24" l="1"/>
  <c r="L8" i="24"/>
  <c r="D118" i="20"/>
  <c r="D86" i="20"/>
  <c r="D98" i="20"/>
  <c r="D207" i="17"/>
  <c r="D214" i="17" s="1"/>
  <c r="D219" i="17" s="1"/>
  <c r="D86" i="25"/>
  <c r="D203" i="21"/>
  <c r="D117" i="20"/>
  <c r="D86" i="19"/>
  <c r="D21" i="17"/>
  <c r="D26" i="17" s="1"/>
  <c r="D118" i="17"/>
  <c r="D117" i="24"/>
  <c r="D203" i="17"/>
  <c r="D203" i="20"/>
  <c r="D21" i="19"/>
  <c r="D26" i="19" s="1"/>
  <c r="D117" i="19"/>
  <c r="D203" i="24"/>
  <c r="D203" i="25"/>
  <c r="D118" i="24"/>
  <c r="D203" i="19"/>
  <c r="D21" i="21"/>
  <c r="D26" i="21" s="1"/>
  <c r="D17" i="17"/>
  <c r="D239" i="17"/>
  <c r="D240" i="17" s="1"/>
  <c r="D53" i="17"/>
  <c r="D18" i="17"/>
  <c r="D117" i="17"/>
  <c r="D10" i="17"/>
  <c r="K10" i="17" s="1"/>
  <c r="D221" i="17"/>
  <c r="D15" i="17"/>
  <c r="D18" i="19"/>
  <c r="D118" i="19"/>
  <c r="D17" i="19"/>
  <c r="D23" i="19"/>
  <c r="D27" i="19" s="1"/>
  <c r="D53" i="19"/>
  <c r="D52" i="19"/>
  <c r="D200" i="19"/>
  <c r="D201" i="19" s="1"/>
  <c r="D239" i="19"/>
  <c r="D240" i="19" s="1"/>
  <c r="D10" i="19"/>
  <c r="K10" i="19" s="1"/>
  <c r="D98" i="19"/>
  <c r="D21" i="20"/>
  <c r="D23" i="20" s="1"/>
  <c r="D27" i="20" s="1"/>
  <c r="D239" i="20"/>
  <c r="D240" i="20" s="1"/>
  <c r="D10" i="20"/>
  <c r="K10" i="20" s="1"/>
  <c r="D85" i="20"/>
  <c r="D26" i="20"/>
  <c r="D221" i="20"/>
  <c r="D118" i="25"/>
  <c r="D85" i="25"/>
  <c r="D21" i="25"/>
  <c r="D23" i="25" s="1"/>
  <c r="D27" i="25" s="1"/>
  <c r="D239" i="25"/>
  <c r="D240" i="25" s="1"/>
  <c r="D18" i="25"/>
  <c r="D117" i="25"/>
  <c r="D221" i="25"/>
  <c r="D10" i="25"/>
  <c r="K10" i="25" s="1"/>
  <c r="D15" i="25"/>
  <c r="D98" i="25" s="1"/>
  <c r="D21" i="24"/>
  <c r="D26" i="24" s="1"/>
  <c r="D17" i="24"/>
  <c r="D239" i="24"/>
  <c r="D240" i="24" s="1"/>
  <c r="D52" i="24"/>
  <c r="D53" i="24"/>
  <c r="D10" i="24"/>
  <c r="K10" i="24" s="1"/>
  <c r="D221" i="24"/>
  <c r="D15" i="24"/>
  <c r="D98" i="24" s="1"/>
  <c r="D118" i="21"/>
  <c r="D85" i="21"/>
  <c r="D239" i="21"/>
  <c r="D240" i="21" s="1"/>
  <c r="D10" i="21"/>
  <c r="K10" i="21" s="1"/>
  <c r="D18" i="21"/>
  <c r="D117" i="21"/>
  <c r="D221" i="21"/>
  <c r="D15" i="21"/>
  <c r="D98" i="21" s="1"/>
  <c r="D14" i="23"/>
  <c r="D97" i="23" s="1"/>
  <c r="I94" i="18" s="1"/>
  <c r="D16" i="23"/>
  <c r="D17" i="23" s="1"/>
  <c r="D25" i="23"/>
  <c r="D21" i="23" s="1"/>
  <c r="D26" i="23" s="1"/>
  <c r="D31" i="23"/>
  <c r="D209" i="23" s="1"/>
  <c r="I206" i="18" s="1"/>
  <c r="D32" i="23"/>
  <c r="D33" i="23"/>
  <c r="D41" i="23"/>
  <c r="D42" i="23"/>
  <c r="D43" i="23"/>
  <c r="I42" i="18" s="1"/>
  <c r="D44" i="23"/>
  <c r="I43" i="18" s="1"/>
  <c r="D45" i="23"/>
  <c r="I44" i="18" s="1"/>
  <c r="D46" i="23"/>
  <c r="I45" i="18" s="1"/>
  <c r="D61" i="23"/>
  <c r="D103" i="23"/>
  <c r="D104" i="23"/>
  <c r="D105" i="23"/>
  <c r="I102" i="18" s="1"/>
  <c r="D109" i="23"/>
  <c r="I106" i="18" s="1"/>
  <c r="D110" i="23"/>
  <c r="I107" i="18" s="1"/>
  <c r="G120" i="23"/>
  <c r="D127" i="23"/>
  <c r="D145" i="23"/>
  <c r="D146" i="23" s="1"/>
  <c r="D148" i="23"/>
  <c r="D156" i="23"/>
  <c r="I153" i="18" s="1"/>
  <c r="D157" i="23"/>
  <c r="I154" i="18" s="1"/>
  <c r="C164" i="23"/>
  <c r="I167" i="23"/>
  <c r="I169" i="23" s="1"/>
  <c r="I170" i="23" s="1"/>
  <c r="E169" i="23"/>
  <c r="N170" i="23"/>
  <c r="D176" i="23"/>
  <c r="I173" i="18" s="1"/>
  <c r="D183" i="23"/>
  <c r="D184" i="23"/>
  <c r="C186" i="23"/>
  <c r="I190" i="23"/>
  <c r="I191" i="23"/>
  <c r="I192" i="23"/>
  <c r="D204" i="23"/>
  <c r="I210" i="23"/>
  <c r="C221" i="23"/>
  <c r="D221" i="23"/>
  <c r="D239" i="23"/>
  <c r="D240" i="23" s="1"/>
  <c r="I101" i="18"/>
  <c r="I59" i="18"/>
  <c r="I32" i="18"/>
  <c r="D25" i="22"/>
  <c r="B127" i="18"/>
  <c r="B145" i="18"/>
  <c r="E4" i="22"/>
  <c r="E4" i="23"/>
  <c r="C63" i="18"/>
  <c r="B63" i="18"/>
  <c r="J102" i="18"/>
  <c r="E102" i="18"/>
  <c r="D105" i="22"/>
  <c r="H102" i="18" s="1"/>
  <c r="K102" i="18"/>
  <c r="D102" i="18"/>
  <c r="E101" i="18"/>
  <c r="D104" i="22"/>
  <c r="H101" i="18" s="1"/>
  <c r="K101" i="18"/>
  <c r="D101" i="18"/>
  <c r="F102" i="18"/>
  <c r="G102" i="18"/>
  <c r="C102" i="18"/>
  <c r="B102" i="18"/>
  <c r="G101" i="18"/>
  <c r="F101" i="18"/>
  <c r="C101" i="18"/>
  <c r="B101" i="18"/>
  <c r="C27" i="18"/>
  <c r="B27" i="18"/>
  <c r="C103" i="18"/>
  <c r="K178" i="18"/>
  <c r="J178" i="18"/>
  <c r="I178" i="18"/>
  <c r="H178" i="18"/>
  <c r="G178" i="18"/>
  <c r="F178" i="18"/>
  <c r="E178" i="18"/>
  <c r="D178" i="18"/>
  <c r="K177" i="18"/>
  <c r="J177" i="18"/>
  <c r="I177" i="18"/>
  <c r="H177" i="18"/>
  <c r="G177" i="18"/>
  <c r="F177" i="18"/>
  <c r="E177" i="18"/>
  <c r="D177" i="18"/>
  <c r="K168" i="18"/>
  <c r="J168" i="18"/>
  <c r="I168" i="18"/>
  <c r="H168" i="18"/>
  <c r="G168" i="18"/>
  <c r="F168" i="18"/>
  <c r="E168" i="18"/>
  <c r="D168" i="18"/>
  <c r="K167" i="18"/>
  <c r="J167" i="18"/>
  <c r="I167" i="18"/>
  <c r="H167" i="18"/>
  <c r="G167" i="18"/>
  <c r="F167" i="18"/>
  <c r="E167" i="18"/>
  <c r="D167" i="18"/>
  <c r="K161" i="18"/>
  <c r="J161" i="18"/>
  <c r="I161" i="18"/>
  <c r="H161" i="18"/>
  <c r="G161" i="18"/>
  <c r="F161" i="18"/>
  <c r="E161" i="18"/>
  <c r="D161" i="18"/>
  <c r="K160" i="18"/>
  <c r="J160" i="18"/>
  <c r="I160" i="18"/>
  <c r="H160" i="18"/>
  <c r="G160" i="18"/>
  <c r="F160" i="18"/>
  <c r="E160" i="18"/>
  <c r="D160" i="18"/>
  <c r="K152" i="18"/>
  <c r="J152" i="18"/>
  <c r="I152" i="18"/>
  <c r="H152" i="18"/>
  <c r="G152" i="18"/>
  <c r="F152" i="18"/>
  <c r="E152" i="18"/>
  <c r="D152" i="18"/>
  <c r="K151" i="18"/>
  <c r="J151" i="18"/>
  <c r="I151" i="18"/>
  <c r="H151" i="18"/>
  <c r="G151" i="18"/>
  <c r="F151" i="18"/>
  <c r="E151" i="18"/>
  <c r="D151" i="18"/>
  <c r="K150" i="18"/>
  <c r="J150" i="18"/>
  <c r="I150" i="18"/>
  <c r="H150" i="18"/>
  <c r="G150" i="18"/>
  <c r="F150" i="18"/>
  <c r="E150" i="18"/>
  <c r="D150" i="18"/>
  <c r="K144" i="18"/>
  <c r="J144" i="18"/>
  <c r="I144" i="18"/>
  <c r="H144" i="18"/>
  <c r="G144" i="18"/>
  <c r="F144" i="18"/>
  <c r="E144" i="18"/>
  <c r="D144" i="18"/>
  <c r="K141" i="18"/>
  <c r="J141" i="18"/>
  <c r="I141" i="18"/>
  <c r="H141" i="18"/>
  <c r="G141" i="18"/>
  <c r="F141" i="18"/>
  <c r="E141" i="18"/>
  <c r="D141" i="18"/>
  <c r="K140" i="18"/>
  <c r="J140" i="18"/>
  <c r="I140" i="18"/>
  <c r="H140" i="18"/>
  <c r="G140" i="18"/>
  <c r="F140" i="18"/>
  <c r="E140" i="18"/>
  <c r="D140" i="18"/>
  <c r="K139" i="18"/>
  <c r="J139" i="18"/>
  <c r="I139" i="18"/>
  <c r="H139" i="18"/>
  <c r="G139" i="18"/>
  <c r="F139" i="18"/>
  <c r="E139" i="18"/>
  <c r="D139" i="18"/>
  <c r="K138" i="18"/>
  <c r="J138" i="18"/>
  <c r="I138" i="18"/>
  <c r="H138" i="18"/>
  <c r="G138" i="18"/>
  <c r="F138" i="18"/>
  <c r="E138" i="18"/>
  <c r="D138" i="18"/>
  <c r="K137" i="18"/>
  <c r="J137" i="18"/>
  <c r="I137" i="18"/>
  <c r="H137" i="18"/>
  <c r="G137" i="18"/>
  <c r="F137" i="18"/>
  <c r="E137" i="18"/>
  <c r="D137" i="18"/>
  <c r="K133" i="18"/>
  <c r="J133" i="18"/>
  <c r="I133" i="18"/>
  <c r="H133" i="18"/>
  <c r="G133" i="18"/>
  <c r="F133" i="18"/>
  <c r="E133" i="18"/>
  <c r="D133" i="18"/>
  <c r="K131" i="18"/>
  <c r="J131" i="18"/>
  <c r="I131" i="18"/>
  <c r="H131" i="18"/>
  <c r="G131" i="18"/>
  <c r="F131" i="18"/>
  <c r="E131" i="18"/>
  <c r="D131" i="18"/>
  <c r="K127" i="18"/>
  <c r="J127" i="18"/>
  <c r="I127" i="18"/>
  <c r="H127" i="18"/>
  <c r="G127" i="18"/>
  <c r="F127" i="18"/>
  <c r="E127" i="18"/>
  <c r="D127" i="18"/>
  <c r="K123" i="18"/>
  <c r="J123" i="18"/>
  <c r="I123" i="18"/>
  <c r="H123" i="18"/>
  <c r="G123" i="18"/>
  <c r="F123" i="18"/>
  <c r="E123" i="18"/>
  <c r="D123" i="18"/>
  <c r="K122" i="18"/>
  <c r="J122" i="18"/>
  <c r="I122" i="18"/>
  <c r="H122" i="18"/>
  <c r="G122" i="18"/>
  <c r="F122" i="18"/>
  <c r="E122" i="18"/>
  <c r="D122" i="18"/>
  <c r="K120" i="18"/>
  <c r="J120" i="18"/>
  <c r="I120" i="18"/>
  <c r="H120" i="18"/>
  <c r="G120" i="18"/>
  <c r="F120" i="18"/>
  <c r="E120" i="18"/>
  <c r="D120" i="18"/>
  <c r="K118" i="18"/>
  <c r="J118" i="18"/>
  <c r="I118" i="18"/>
  <c r="H118" i="18"/>
  <c r="G118" i="18"/>
  <c r="F118" i="18"/>
  <c r="E118" i="18"/>
  <c r="D118" i="18"/>
  <c r="K116" i="18"/>
  <c r="J116" i="18"/>
  <c r="I116" i="18"/>
  <c r="H116" i="18"/>
  <c r="G116" i="18"/>
  <c r="F116" i="18"/>
  <c r="E116" i="18"/>
  <c r="D116" i="18"/>
  <c r="K99" i="18"/>
  <c r="J99" i="18"/>
  <c r="I99" i="18"/>
  <c r="H99" i="18"/>
  <c r="G99" i="18"/>
  <c r="F99" i="18"/>
  <c r="E99" i="18"/>
  <c r="D99" i="18"/>
  <c r="K98" i="18"/>
  <c r="J98" i="18"/>
  <c r="I98" i="18"/>
  <c r="H98" i="18"/>
  <c r="G98" i="18"/>
  <c r="F98" i="18"/>
  <c r="E98" i="18"/>
  <c r="D98" i="18"/>
  <c r="K81" i="18"/>
  <c r="J81" i="18"/>
  <c r="I81" i="18"/>
  <c r="H81" i="18"/>
  <c r="G81" i="18"/>
  <c r="F81" i="18"/>
  <c r="E81" i="18"/>
  <c r="D81" i="18"/>
  <c r="K74" i="18"/>
  <c r="J74" i="18"/>
  <c r="I74" i="18"/>
  <c r="H74" i="18"/>
  <c r="G74" i="18"/>
  <c r="F74" i="18"/>
  <c r="E74" i="18"/>
  <c r="D74" i="18"/>
  <c r="K58" i="18"/>
  <c r="J58" i="18"/>
  <c r="I58" i="18"/>
  <c r="H58" i="18"/>
  <c r="G58" i="18"/>
  <c r="F58" i="18"/>
  <c r="E58" i="18"/>
  <c r="D58" i="18"/>
  <c r="K46" i="18"/>
  <c r="J46" i="18"/>
  <c r="I46" i="18"/>
  <c r="H46" i="18"/>
  <c r="G46" i="18"/>
  <c r="F46" i="18"/>
  <c r="E46" i="18"/>
  <c r="D46" i="18"/>
  <c r="K39" i="18"/>
  <c r="J39" i="18"/>
  <c r="I39" i="18"/>
  <c r="H39" i="18"/>
  <c r="G39" i="18"/>
  <c r="F39" i="18"/>
  <c r="E39" i="18"/>
  <c r="D39" i="18"/>
  <c r="K38" i="18"/>
  <c r="J38" i="18"/>
  <c r="I38" i="18"/>
  <c r="H38" i="18"/>
  <c r="G38" i="18"/>
  <c r="F38" i="18"/>
  <c r="E38" i="18"/>
  <c r="D38" i="18"/>
  <c r="K37" i="18"/>
  <c r="J37" i="18"/>
  <c r="I37" i="18"/>
  <c r="H37" i="18"/>
  <c r="G37" i="18"/>
  <c r="F37" i="18"/>
  <c r="E37" i="18"/>
  <c r="D37" i="18"/>
  <c r="K36" i="18"/>
  <c r="J36" i="18"/>
  <c r="I36" i="18"/>
  <c r="H36" i="18"/>
  <c r="G36" i="18"/>
  <c r="F36" i="18"/>
  <c r="E36" i="18"/>
  <c r="D36" i="18"/>
  <c r="K35" i="18"/>
  <c r="J35" i="18"/>
  <c r="I35" i="18"/>
  <c r="H35" i="18"/>
  <c r="G35" i="18"/>
  <c r="F35" i="18"/>
  <c r="E35" i="18"/>
  <c r="D35" i="18"/>
  <c r="K34" i="18"/>
  <c r="J34" i="18"/>
  <c r="I34" i="18"/>
  <c r="H34" i="18"/>
  <c r="G34" i="18"/>
  <c r="F34" i="18"/>
  <c r="E34" i="18"/>
  <c r="D34" i="18"/>
  <c r="K28" i="18"/>
  <c r="J28" i="18"/>
  <c r="I28" i="18"/>
  <c r="H28" i="18"/>
  <c r="G28" i="18"/>
  <c r="F28" i="18"/>
  <c r="E28" i="18"/>
  <c r="D28" i="18"/>
  <c r="K24" i="18"/>
  <c r="J24" i="18"/>
  <c r="I24" i="18"/>
  <c r="H24" i="18"/>
  <c r="G24" i="18"/>
  <c r="F24" i="18"/>
  <c r="E24" i="18"/>
  <c r="D24" i="18"/>
  <c r="K22" i="18"/>
  <c r="J22" i="18"/>
  <c r="I22" i="18"/>
  <c r="H22" i="18"/>
  <c r="G22" i="18"/>
  <c r="F22" i="18"/>
  <c r="E22" i="18"/>
  <c r="D22" i="18"/>
  <c r="K13" i="18"/>
  <c r="J13" i="18"/>
  <c r="I13" i="18"/>
  <c r="H13" i="18"/>
  <c r="G13" i="18"/>
  <c r="F13" i="18"/>
  <c r="E13" i="18"/>
  <c r="D13" i="18"/>
  <c r="K12" i="18"/>
  <c r="J12" i="18"/>
  <c r="I12" i="18"/>
  <c r="H12" i="18"/>
  <c r="G12" i="18"/>
  <c r="F12" i="18"/>
  <c r="E12" i="18"/>
  <c r="D12" i="18"/>
  <c r="K11" i="18"/>
  <c r="J11" i="18"/>
  <c r="I11" i="18"/>
  <c r="H11" i="18"/>
  <c r="G11" i="18"/>
  <c r="F11" i="18"/>
  <c r="E11" i="18"/>
  <c r="D11" i="18"/>
  <c r="K8" i="18"/>
  <c r="J8" i="18"/>
  <c r="I8" i="18"/>
  <c r="H8" i="18"/>
  <c r="G8" i="18"/>
  <c r="F8" i="18"/>
  <c r="E8" i="18"/>
  <c r="D8" i="18"/>
  <c r="C234" i="18"/>
  <c r="B234" i="18"/>
  <c r="B231" i="18"/>
  <c r="B230" i="18"/>
  <c r="B229" i="18"/>
  <c r="B228" i="18"/>
  <c r="B227" i="18"/>
  <c r="B226" i="18"/>
  <c r="B225" i="18"/>
  <c r="B233" i="18"/>
  <c r="C217" i="18"/>
  <c r="C216" i="18"/>
  <c r="C244" i="18"/>
  <c r="C243" i="18"/>
  <c r="C242" i="18"/>
  <c r="C241" i="18"/>
  <c r="C238" i="18"/>
  <c r="C237" i="18"/>
  <c r="C236" i="18"/>
  <c r="C235" i="18"/>
  <c r="C231" i="18"/>
  <c r="C230" i="18"/>
  <c r="C229" i="18"/>
  <c r="C228" i="18"/>
  <c r="C226" i="18"/>
  <c r="C225" i="18"/>
  <c r="C222" i="18"/>
  <c r="C221" i="18"/>
  <c r="C220" i="18"/>
  <c r="C219" i="18"/>
  <c r="C213" i="18"/>
  <c r="C212" i="18"/>
  <c r="C211" i="18"/>
  <c r="C208" i="18"/>
  <c r="C206" i="18"/>
  <c r="C205" i="18"/>
  <c r="C204" i="18"/>
  <c r="C201" i="18"/>
  <c r="C200" i="18"/>
  <c r="C199" i="18"/>
  <c r="C198" i="18"/>
  <c r="C197" i="18"/>
  <c r="C194" i="18"/>
  <c r="C193" i="18"/>
  <c r="C192" i="18"/>
  <c r="C191" i="18"/>
  <c r="C190" i="18"/>
  <c r="C186" i="18"/>
  <c r="C183" i="18"/>
  <c r="C182" i="18"/>
  <c r="C181" i="18"/>
  <c r="C180" i="18"/>
  <c r="C179" i="18"/>
  <c r="C178" i="18"/>
  <c r="C177" i="18"/>
  <c r="C174" i="18"/>
  <c r="C173" i="18"/>
  <c r="C172" i="18"/>
  <c r="C171" i="18"/>
  <c r="C170" i="18"/>
  <c r="C169" i="18"/>
  <c r="C168" i="18"/>
  <c r="C160" i="18"/>
  <c r="C159" i="18"/>
  <c r="C156" i="18"/>
  <c r="C155" i="18"/>
  <c r="C154" i="18"/>
  <c r="C153" i="18"/>
  <c r="C152" i="18"/>
  <c r="C151" i="18"/>
  <c r="C150" i="18"/>
  <c r="C149" i="18"/>
  <c r="C146" i="18"/>
  <c r="C145" i="18"/>
  <c r="C144" i="18"/>
  <c r="C143" i="18"/>
  <c r="C142" i="18"/>
  <c r="C141" i="18"/>
  <c r="C140" i="18"/>
  <c r="C139" i="18"/>
  <c r="C138" i="18"/>
  <c r="C137" i="18"/>
  <c r="C134" i="18"/>
  <c r="C133" i="18"/>
  <c r="C132" i="18"/>
  <c r="C131" i="18"/>
  <c r="C128" i="18"/>
  <c r="C127" i="18"/>
  <c r="C126" i="18"/>
  <c r="C125" i="18"/>
  <c r="C124" i="18"/>
  <c r="C123" i="18"/>
  <c r="C122" i="18"/>
  <c r="C121" i="18"/>
  <c r="C120" i="18"/>
  <c r="C119" i="18"/>
  <c r="C118" i="18"/>
  <c r="C117" i="18"/>
  <c r="C116" i="18"/>
  <c r="C115" i="18"/>
  <c r="C114" i="18"/>
  <c r="C111" i="18"/>
  <c r="C110" i="18"/>
  <c r="C109" i="18"/>
  <c r="C108" i="18"/>
  <c r="C107" i="18"/>
  <c r="C106" i="18"/>
  <c r="C100" i="18"/>
  <c r="C99" i="18"/>
  <c r="C98" i="18"/>
  <c r="C95" i="18"/>
  <c r="C94" i="18"/>
  <c r="C93" i="18"/>
  <c r="C92" i="18"/>
  <c r="C91" i="18"/>
  <c r="C90" i="18"/>
  <c r="C87" i="18"/>
  <c r="C86" i="18"/>
  <c r="C85" i="18"/>
  <c r="C84" i="18"/>
  <c r="C83" i="18"/>
  <c r="C82" i="18"/>
  <c r="C81" i="18"/>
  <c r="C78" i="18"/>
  <c r="C77" i="18"/>
  <c r="C76" i="18"/>
  <c r="C75" i="18"/>
  <c r="C74" i="18"/>
  <c r="C71" i="18"/>
  <c r="C70" i="18"/>
  <c r="C67" i="18"/>
  <c r="C66" i="18"/>
  <c r="C65" i="18"/>
  <c r="C64" i="18"/>
  <c r="C62" i="18"/>
  <c r="C59" i="18"/>
  <c r="C58" i="18"/>
  <c r="C57" i="18"/>
  <c r="C56" i="18"/>
  <c r="C55" i="18"/>
  <c r="C52" i="18"/>
  <c r="C51" i="18"/>
  <c r="C50" i="18"/>
  <c r="C49" i="18"/>
  <c r="C46" i="18"/>
  <c r="C45" i="18"/>
  <c r="C44" i="18"/>
  <c r="C43" i="18"/>
  <c r="C42" i="18"/>
  <c r="C41" i="18"/>
  <c r="C40" i="18"/>
  <c r="C39" i="18"/>
  <c r="C38" i="18"/>
  <c r="C37" i="18"/>
  <c r="C36" i="18"/>
  <c r="C35" i="18"/>
  <c r="C34" i="18"/>
  <c r="C33" i="18"/>
  <c r="C32" i="18"/>
  <c r="C31" i="18"/>
  <c r="C28" i="18"/>
  <c r="C26" i="18"/>
  <c r="C25" i="18"/>
  <c r="C24" i="18"/>
  <c r="C23" i="18"/>
  <c r="C22" i="18"/>
  <c r="C21" i="18"/>
  <c r="C18" i="18"/>
  <c r="C14" i="18"/>
  <c r="C9" i="18"/>
  <c r="C10" i="18"/>
  <c r="C11" i="18"/>
  <c r="C12" i="18"/>
  <c r="C13" i="18"/>
  <c r="C15" i="18"/>
  <c r="C16" i="18"/>
  <c r="C17" i="18"/>
  <c r="C8" i="18"/>
  <c r="B67" i="18"/>
  <c r="B66" i="18"/>
  <c r="B65" i="18"/>
  <c r="B64" i="18"/>
  <c r="B62" i="18"/>
  <c r="B61" i="18"/>
  <c r="B59" i="18"/>
  <c r="B58" i="18"/>
  <c r="B57" i="18"/>
  <c r="B56" i="18"/>
  <c r="B54" i="18"/>
  <c r="B55" i="18"/>
  <c r="B52" i="18"/>
  <c r="B48" i="18"/>
  <c r="B51" i="18"/>
  <c r="B50" i="18"/>
  <c r="B49" i="18"/>
  <c r="B240" i="18"/>
  <c r="B185" i="18"/>
  <c r="B196" i="18"/>
  <c r="B203" i="18"/>
  <c r="B210" i="18"/>
  <c r="B224" i="18"/>
  <c r="B215" i="18"/>
  <c r="B176" i="18"/>
  <c r="B158" i="18"/>
  <c r="B148" i="18"/>
  <c r="B149" i="18"/>
  <c r="B136" i="18"/>
  <c r="B130" i="18"/>
  <c r="B131" i="18"/>
  <c r="B113" i="18"/>
  <c r="B105" i="18"/>
  <c r="B97" i="18"/>
  <c r="B89" i="18"/>
  <c r="B80" i="18"/>
  <c r="B73" i="18"/>
  <c r="B69" i="18"/>
  <c r="B30" i="18"/>
  <c r="B20" i="18"/>
  <c r="B244" i="18"/>
  <c r="B243" i="18"/>
  <c r="B242" i="18"/>
  <c r="B241" i="18"/>
  <c r="B238" i="18"/>
  <c r="B237" i="18"/>
  <c r="B236" i="18"/>
  <c r="B235" i="18"/>
  <c r="B222" i="18"/>
  <c r="B221" i="18"/>
  <c r="B220" i="18"/>
  <c r="B219" i="18"/>
  <c r="B217" i="18"/>
  <c r="B216" i="18"/>
  <c r="B213" i="18"/>
  <c r="B212" i="18"/>
  <c r="B211" i="18"/>
  <c r="B208" i="18"/>
  <c r="B207" i="18"/>
  <c r="B206" i="18"/>
  <c r="B205" i="18"/>
  <c r="B204" i="18"/>
  <c r="B201" i="18"/>
  <c r="B200" i="18"/>
  <c r="B199" i="18"/>
  <c r="B198" i="18"/>
  <c r="B197" i="18"/>
  <c r="B194" i="18"/>
  <c r="B193" i="18"/>
  <c r="B192" i="18"/>
  <c r="B191" i="18"/>
  <c r="B190" i="18"/>
  <c r="B189" i="18"/>
  <c r="B188" i="18"/>
  <c r="B187" i="18"/>
  <c r="B186" i="18"/>
  <c r="B182" i="18"/>
  <c r="B181" i="18"/>
  <c r="B180" i="18"/>
  <c r="B179" i="18"/>
  <c r="B178" i="18"/>
  <c r="B177" i="18"/>
  <c r="B174" i="18"/>
  <c r="B173" i="18"/>
  <c r="B172" i="18"/>
  <c r="B171" i="18"/>
  <c r="B170" i="18"/>
  <c r="B169" i="18"/>
  <c r="B168" i="18"/>
  <c r="B167" i="18"/>
  <c r="B166" i="18"/>
  <c r="B165" i="18"/>
  <c r="B164" i="18"/>
  <c r="B163" i="18"/>
  <c r="B162" i="18"/>
  <c r="B160" i="18"/>
  <c r="B159" i="18"/>
  <c r="B156" i="18"/>
  <c r="B155" i="18"/>
  <c r="B154" i="18"/>
  <c r="B153" i="18"/>
  <c r="B152" i="18"/>
  <c r="B151" i="18"/>
  <c r="B150" i="18"/>
  <c r="B146" i="18"/>
  <c r="B144" i="18"/>
  <c r="B143" i="18"/>
  <c r="B142" i="18"/>
  <c r="B141" i="18"/>
  <c r="B140" i="18"/>
  <c r="B139" i="18"/>
  <c r="B138" i="18"/>
  <c r="B137" i="18"/>
  <c r="B134" i="18"/>
  <c r="B133" i="18"/>
  <c r="B132" i="18"/>
  <c r="B128" i="18"/>
  <c r="B126" i="18"/>
  <c r="B125" i="18"/>
  <c r="B124" i="18"/>
  <c r="B123" i="18"/>
  <c r="B122" i="18"/>
  <c r="B121" i="18"/>
  <c r="B120" i="18"/>
  <c r="B119" i="18"/>
  <c r="B118" i="18"/>
  <c r="B117" i="18"/>
  <c r="B116" i="18"/>
  <c r="B115" i="18"/>
  <c r="B114" i="18"/>
  <c r="B111" i="18"/>
  <c r="B110" i="18"/>
  <c r="B109" i="18"/>
  <c r="B108" i="18"/>
  <c r="B107" i="18"/>
  <c r="B106" i="18"/>
  <c r="B103" i="18"/>
  <c r="B100" i="18"/>
  <c r="B99" i="18"/>
  <c r="B98" i="18"/>
  <c r="B95" i="18"/>
  <c r="B94" i="18"/>
  <c r="B93" i="18"/>
  <c r="B92" i="18"/>
  <c r="B91" i="18"/>
  <c r="B90" i="18"/>
  <c r="B87" i="18"/>
  <c r="B86" i="18"/>
  <c r="B85" i="18"/>
  <c r="B84" i="18"/>
  <c r="B83" i="18"/>
  <c r="B82" i="18"/>
  <c r="B81" i="18"/>
  <c r="B78" i="18"/>
  <c r="B77" i="18"/>
  <c r="B76" i="18"/>
  <c r="B75" i="18"/>
  <c r="B74" i="18"/>
  <c r="B71" i="18"/>
  <c r="B70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28" i="18"/>
  <c r="B26" i="18"/>
  <c r="B25" i="18"/>
  <c r="B24" i="18"/>
  <c r="B23" i="18"/>
  <c r="B22" i="18"/>
  <c r="B21" i="18"/>
  <c r="B18" i="18"/>
  <c r="B17" i="18"/>
  <c r="B16" i="18"/>
  <c r="B15" i="18"/>
  <c r="B14" i="18"/>
  <c r="B13" i="18"/>
  <c r="B12" i="18"/>
  <c r="B11" i="18"/>
  <c r="B10" i="18"/>
  <c r="B9" i="18"/>
  <c r="K201" i="18"/>
  <c r="K180" i="18"/>
  <c r="K173" i="18"/>
  <c r="K154" i="18"/>
  <c r="K153" i="18"/>
  <c r="K145" i="18"/>
  <c r="K142" i="18"/>
  <c r="K124" i="18"/>
  <c r="K107" i="18"/>
  <c r="K106" i="18"/>
  <c r="K100" i="18"/>
  <c r="K59" i="18"/>
  <c r="K45" i="18"/>
  <c r="K44" i="18"/>
  <c r="K43" i="18"/>
  <c r="K42" i="18"/>
  <c r="K33" i="18"/>
  <c r="K32" i="18"/>
  <c r="K206" i="18"/>
  <c r="K94" i="18"/>
  <c r="J201" i="18"/>
  <c r="J180" i="18"/>
  <c r="J173" i="18"/>
  <c r="J154" i="18"/>
  <c r="J153" i="18"/>
  <c r="J145" i="18"/>
  <c r="J142" i="18"/>
  <c r="J124" i="18"/>
  <c r="J107" i="18"/>
  <c r="J106" i="18"/>
  <c r="J100" i="18"/>
  <c r="J59" i="18"/>
  <c r="J45" i="18"/>
  <c r="J44" i="18"/>
  <c r="J43" i="18"/>
  <c r="J42" i="18"/>
  <c r="J40" i="18"/>
  <c r="J33" i="18"/>
  <c r="J32" i="18"/>
  <c r="J206" i="18"/>
  <c r="J94" i="18"/>
  <c r="J18" i="18"/>
  <c r="E201" i="18"/>
  <c r="E180" i="18"/>
  <c r="E173" i="18"/>
  <c r="E154" i="18"/>
  <c r="E153" i="18"/>
  <c r="E145" i="18"/>
  <c r="E142" i="18"/>
  <c r="E124" i="18"/>
  <c r="E107" i="18"/>
  <c r="E106" i="18"/>
  <c r="E100" i="18"/>
  <c r="E59" i="18"/>
  <c r="E45" i="18"/>
  <c r="E44" i="18"/>
  <c r="E43" i="18"/>
  <c r="E42" i="18"/>
  <c r="E186" i="18"/>
  <c r="E40" i="18"/>
  <c r="E33" i="18"/>
  <c r="E32" i="18"/>
  <c r="E94" i="18"/>
  <c r="F201" i="18"/>
  <c r="F180" i="18"/>
  <c r="F173" i="18"/>
  <c r="F154" i="18"/>
  <c r="F153" i="18"/>
  <c r="F145" i="18"/>
  <c r="F124" i="18"/>
  <c r="F107" i="18"/>
  <c r="F106" i="18"/>
  <c r="F100" i="18"/>
  <c r="F59" i="18"/>
  <c r="F45" i="18"/>
  <c r="F44" i="18"/>
  <c r="F43" i="18"/>
  <c r="F42" i="18"/>
  <c r="F40" i="18"/>
  <c r="F33" i="18"/>
  <c r="F32" i="18"/>
  <c r="F206" i="18"/>
  <c r="F236" i="18"/>
  <c r="F18" i="18"/>
  <c r="C218" i="18"/>
  <c r="B218" i="18"/>
  <c r="C207" i="18"/>
  <c r="D201" i="18"/>
  <c r="C189" i="18"/>
  <c r="C188" i="18"/>
  <c r="C187" i="18"/>
  <c r="B183" i="18"/>
  <c r="D181" i="18"/>
  <c r="D173" i="18"/>
  <c r="B161" i="18"/>
  <c r="D154" i="18"/>
  <c r="D153" i="18"/>
  <c r="D145" i="18"/>
  <c r="D143" i="18"/>
  <c r="D124" i="18"/>
  <c r="D107" i="18"/>
  <c r="D106" i="18"/>
  <c r="D100" i="18"/>
  <c r="D59" i="18"/>
  <c r="D45" i="18"/>
  <c r="D44" i="18"/>
  <c r="D43" i="18"/>
  <c r="D42" i="18"/>
  <c r="D186" i="18"/>
  <c r="D40" i="18"/>
  <c r="D33" i="18"/>
  <c r="D32" i="18"/>
  <c r="D206" i="18"/>
  <c r="D237" i="18"/>
  <c r="D9" i="18"/>
  <c r="G201" i="18"/>
  <c r="G180" i="18"/>
  <c r="G173" i="18"/>
  <c r="G154" i="18"/>
  <c r="G153" i="18"/>
  <c r="G145" i="18"/>
  <c r="G142" i="18"/>
  <c r="G124" i="18"/>
  <c r="G107" i="18"/>
  <c r="G106" i="18"/>
  <c r="G100" i="18"/>
  <c r="G59" i="18"/>
  <c r="G45" i="18"/>
  <c r="G44" i="18"/>
  <c r="G43" i="18"/>
  <c r="G42" i="18"/>
  <c r="G40" i="18"/>
  <c r="G33" i="18"/>
  <c r="G32" i="18"/>
  <c r="G94" i="18"/>
  <c r="I201" i="18"/>
  <c r="I145" i="18"/>
  <c r="I142" i="18"/>
  <c r="I124" i="18"/>
  <c r="I100" i="18"/>
  <c r="I33" i="18"/>
  <c r="D9" i="23"/>
  <c r="D14" i="22"/>
  <c r="D239" i="22" s="1"/>
  <c r="H236" i="18" s="1"/>
  <c r="C221" i="22"/>
  <c r="I210" i="22"/>
  <c r="D204" i="22"/>
  <c r="H201" i="18" s="1"/>
  <c r="I192" i="22"/>
  <c r="I190" i="22"/>
  <c r="I191" i="22"/>
  <c r="D61" i="22"/>
  <c r="H59" i="18" s="1"/>
  <c r="D41" i="22"/>
  <c r="H40" i="18" s="1"/>
  <c r="D42" i="22"/>
  <c r="D43" i="22"/>
  <c r="H42" i="18" s="1"/>
  <c r="C186" i="22"/>
  <c r="D110" i="22"/>
  <c r="H107" i="18" s="1"/>
  <c r="D109" i="22"/>
  <c r="H106" i="18" s="1"/>
  <c r="D44" i="22"/>
  <c r="H43" i="18" s="1"/>
  <c r="D46" i="22"/>
  <c r="H45" i="18" s="1"/>
  <c r="D45" i="22"/>
  <c r="H44" i="18" s="1"/>
  <c r="D33" i="22"/>
  <c r="H33" i="18" s="1"/>
  <c r="D32" i="22"/>
  <c r="H32" i="18" s="1"/>
  <c r="D31" i="22"/>
  <c r="H31" i="18" s="1"/>
  <c r="G120" i="22"/>
  <c r="D183" i="22"/>
  <c r="H180" i="18" s="1"/>
  <c r="D176" i="22"/>
  <c r="H173" i="18" s="1"/>
  <c r="D9" i="22"/>
  <c r="D15" i="22" s="1"/>
  <c r="D103" i="22"/>
  <c r="H100" i="18" s="1"/>
  <c r="N170" i="22"/>
  <c r="E169" i="22"/>
  <c r="I167" i="22"/>
  <c r="I169" i="22" s="1"/>
  <c r="I170" i="22" s="1"/>
  <c r="C164" i="22"/>
  <c r="D157" i="22"/>
  <c r="H154" i="18" s="1"/>
  <c r="D156" i="22"/>
  <c r="H153" i="18" s="1"/>
  <c r="D148" i="22"/>
  <c r="H145" i="18" s="1"/>
  <c r="D145" i="22"/>
  <c r="H142" i="18" s="1"/>
  <c r="D127" i="22"/>
  <c r="H124" i="18" s="1"/>
  <c r="D16" i="22"/>
  <c r="D117" i="22" s="1"/>
  <c r="H114" i="18" s="1"/>
  <c r="B8" i="18"/>
  <c r="B7" i="18"/>
  <c r="D23" i="21" l="1"/>
  <c r="D27" i="21" s="1"/>
  <c r="D207" i="19"/>
  <c r="D214" i="19" s="1"/>
  <c r="D219" i="19" s="1"/>
  <c r="D117" i="23"/>
  <c r="I114" i="18" s="1"/>
  <c r="D120" i="19"/>
  <c r="D122" i="19" s="1"/>
  <c r="D135" i="19" s="1"/>
  <c r="D137" i="19" s="1"/>
  <c r="D149" i="19" s="1"/>
  <c r="D120" i="20"/>
  <c r="D122" i="20" s="1"/>
  <c r="D135" i="20" s="1"/>
  <c r="D137" i="20" s="1"/>
  <c r="D98" i="17"/>
  <c r="D86" i="17"/>
  <c r="D86" i="24"/>
  <c r="D203" i="23"/>
  <c r="I200" i="18" s="1"/>
  <c r="D23" i="17"/>
  <c r="D27" i="17" s="1"/>
  <c r="D86" i="21"/>
  <c r="D18" i="22"/>
  <c r="H18" i="18" s="1"/>
  <c r="D86" i="22"/>
  <c r="D118" i="23"/>
  <c r="D21" i="22"/>
  <c r="D120" i="17"/>
  <c r="D122" i="17" s="1"/>
  <c r="D135" i="17" s="1"/>
  <c r="D137" i="17" s="1"/>
  <c r="D149" i="17" s="1"/>
  <c r="I9" i="18"/>
  <c r="D15" i="23"/>
  <c r="D86" i="23" s="1"/>
  <c r="D18" i="23"/>
  <c r="D120" i="23" s="1"/>
  <c r="D122" i="23" s="1"/>
  <c r="D135" i="23" s="1"/>
  <c r="D137" i="23" s="1"/>
  <c r="E186" i="23" s="1"/>
  <c r="D26" i="25"/>
  <c r="D85" i="23"/>
  <c r="D120" i="24"/>
  <c r="D122" i="24" s="1"/>
  <c r="D98" i="22"/>
  <c r="D23" i="24"/>
  <c r="D27" i="24" s="1"/>
  <c r="D90" i="17"/>
  <c r="D87" i="17"/>
  <c r="D191" i="17"/>
  <c r="D190" i="17"/>
  <c r="D237" i="17"/>
  <c r="D215" i="17"/>
  <c r="D223" i="17" s="1"/>
  <c r="D124" i="17"/>
  <c r="B2" i="17"/>
  <c r="D215" i="19"/>
  <c r="D223" i="19" s="1"/>
  <c r="D228" i="19"/>
  <c r="D190" i="19"/>
  <c r="D90" i="19"/>
  <c r="D87" i="19"/>
  <c r="D191" i="19"/>
  <c r="E186" i="19"/>
  <c r="D77" i="19"/>
  <c r="B2" i="19"/>
  <c r="D124" i="19"/>
  <c r="B2" i="20"/>
  <c r="D124" i="20"/>
  <c r="D52" i="20"/>
  <c r="D53" i="20"/>
  <c r="D52" i="25"/>
  <c r="D53" i="25"/>
  <c r="D190" i="25" s="1"/>
  <c r="D120" i="25"/>
  <c r="D122" i="25" s="1"/>
  <c r="D135" i="25" s="1"/>
  <c r="D137" i="25" s="1"/>
  <c r="E186" i="25" s="1"/>
  <c r="B2" i="25"/>
  <c r="D124" i="25"/>
  <c r="K121" i="18" s="1"/>
  <c r="B2" i="24"/>
  <c r="D124" i="24"/>
  <c r="D190" i="24"/>
  <c r="D90" i="24"/>
  <c r="D87" i="24"/>
  <c r="D191" i="24"/>
  <c r="D120" i="21"/>
  <c r="D122" i="21" s="1"/>
  <c r="D135" i="21" s="1"/>
  <c r="D137" i="21" s="1"/>
  <c r="D77" i="21" s="1"/>
  <c r="D52" i="21"/>
  <c r="D53" i="21"/>
  <c r="D190" i="21" s="1"/>
  <c r="B2" i="21"/>
  <c r="D124" i="21"/>
  <c r="G121" i="18" s="1"/>
  <c r="D23" i="23"/>
  <c r="D27" i="23" s="1"/>
  <c r="I40" i="18"/>
  <c r="I180" i="18"/>
  <c r="J115" i="18"/>
  <c r="G115" i="18"/>
  <c r="F115" i="18"/>
  <c r="K115" i="18"/>
  <c r="D118" i="22"/>
  <c r="H115" i="18" s="1"/>
  <c r="I115" i="18"/>
  <c r="J101" i="18"/>
  <c r="D41" i="18"/>
  <c r="D180" i="18"/>
  <c r="D14" i="18"/>
  <c r="D31" i="18"/>
  <c r="K200" i="18"/>
  <c r="D142" i="18"/>
  <c r="D16" i="18"/>
  <c r="D236" i="18"/>
  <c r="G143" i="18"/>
  <c r="I14" i="18"/>
  <c r="I41" i="18"/>
  <c r="I16" i="18"/>
  <c r="I31" i="18"/>
  <c r="K218" i="18"/>
  <c r="J9" i="18"/>
  <c r="J14" i="18"/>
  <c r="J16" i="18"/>
  <c r="J31" i="18"/>
  <c r="J41" i="18"/>
  <c r="I218" i="18"/>
  <c r="K9" i="18"/>
  <c r="K10" i="18"/>
  <c r="K14" i="18"/>
  <c r="K16" i="18"/>
  <c r="K31" i="18"/>
  <c r="K40" i="18"/>
  <c r="K41" i="18"/>
  <c r="I181" i="18"/>
  <c r="J143" i="18"/>
  <c r="E9" i="18"/>
  <c r="E10" i="18"/>
  <c r="E14" i="18"/>
  <c r="E16" i="18"/>
  <c r="E31" i="18"/>
  <c r="E41" i="18"/>
  <c r="F9" i="18"/>
  <c r="F14" i="18"/>
  <c r="F16" i="18"/>
  <c r="F31" i="18"/>
  <c r="F41" i="18"/>
  <c r="G9" i="18"/>
  <c r="G10" i="18"/>
  <c r="G14" i="18"/>
  <c r="G16" i="18"/>
  <c r="G31" i="18"/>
  <c r="G41" i="18"/>
  <c r="F143" i="18"/>
  <c r="F142" i="18"/>
  <c r="H9" i="18"/>
  <c r="H14" i="18"/>
  <c r="H16" i="18"/>
  <c r="H41" i="18"/>
  <c r="G206" i="18"/>
  <c r="E143" i="18"/>
  <c r="K143" i="18"/>
  <c r="F181" i="18"/>
  <c r="G181" i="18"/>
  <c r="E181" i="18"/>
  <c r="J181" i="18"/>
  <c r="K181" i="18"/>
  <c r="D221" i="22"/>
  <c r="H218" i="18" s="1"/>
  <c r="F200" i="18"/>
  <c r="F218" i="18"/>
  <c r="E200" i="18"/>
  <c r="D146" i="22"/>
  <c r="H143" i="18" s="1"/>
  <c r="D240" i="22"/>
  <c r="H237" i="18" s="1"/>
  <c r="D184" i="22"/>
  <c r="H181" i="18" s="1"/>
  <c r="F237" i="18"/>
  <c r="I143" i="18"/>
  <c r="G200" i="18"/>
  <c r="E218" i="18"/>
  <c r="J200" i="18"/>
  <c r="D200" i="18"/>
  <c r="J10" i="18"/>
  <c r="J15" i="18"/>
  <c r="J236" i="18"/>
  <c r="K15" i="18"/>
  <c r="K236" i="18"/>
  <c r="K17" i="18"/>
  <c r="K82" i="18"/>
  <c r="K18" i="18"/>
  <c r="K114" i="18"/>
  <c r="J17" i="18"/>
  <c r="J82" i="18"/>
  <c r="J218" i="18"/>
  <c r="J114" i="18"/>
  <c r="F15" i="18"/>
  <c r="F82" i="18"/>
  <c r="F17" i="18"/>
  <c r="E18" i="18"/>
  <c r="E15" i="18"/>
  <c r="D115" i="18"/>
  <c r="D94" i="18"/>
  <c r="D114" i="18"/>
  <c r="E197" i="18"/>
  <c r="E206" i="18"/>
  <c r="E236" i="18"/>
  <c r="F94" i="18"/>
  <c r="F114" i="18"/>
  <c r="E17" i="18"/>
  <c r="E82" i="18"/>
  <c r="D17" i="18"/>
  <c r="D82" i="18"/>
  <c r="D218" i="18"/>
  <c r="D18" i="18"/>
  <c r="E114" i="18"/>
  <c r="G114" i="18"/>
  <c r="G15" i="18"/>
  <c r="G236" i="18"/>
  <c r="G17" i="18"/>
  <c r="G82" i="18"/>
  <c r="G218" i="18"/>
  <c r="G18" i="18"/>
  <c r="D10" i="23"/>
  <c r="I17" i="18"/>
  <c r="I18" i="18"/>
  <c r="I236" i="18"/>
  <c r="D97" i="22"/>
  <c r="H94" i="18" s="1"/>
  <c r="D209" i="22"/>
  <c r="H206" i="18" s="1"/>
  <c r="D203" i="22"/>
  <c r="H200" i="18" s="1"/>
  <c r="H15" i="18"/>
  <c r="D85" i="22"/>
  <c r="D17" i="22"/>
  <c r="H17" i="18" s="1"/>
  <c r="D10" i="22"/>
  <c r="H10" i="18" s="1"/>
  <c r="D78" i="19" l="1"/>
  <c r="D57" i="19"/>
  <c r="D79" i="19"/>
  <c r="D98" i="23"/>
  <c r="D135" i="24"/>
  <c r="D137" i="24" s="1"/>
  <c r="L9" i="24"/>
  <c r="D237" i="19"/>
  <c r="D229" i="19"/>
  <c r="D238" i="19" s="1"/>
  <c r="D78" i="21"/>
  <c r="D57" i="21"/>
  <c r="D189" i="21" s="1"/>
  <c r="D77" i="20"/>
  <c r="D244" i="17"/>
  <c r="D245" i="17" s="1"/>
  <c r="D238" i="17"/>
  <c r="D247" i="17"/>
  <c r="D246" i="17" s="1"/>
  <c r="D149" i="20"/>
  <c r="D159" i="20" s="1"/>
  <c r="E186" i="20"/>
  <c r="D149" i="21"/>
  <c r="D77" i="17"/>
  <c r="E186" i="17"/>
  <c r="I10" i="18"/>
  <c r="D124" i="23"/>
  <c r="I121" i="18" s="1"/>
  <c r="H82" i="18"/>
  <c r="D53" i="22"/>
  <c r="D52" i="22"/>
  <c r="D52" i="23"/>
  <c r="D53" i="23"/>
  <c r="D190" i="23" s="1"/>
  <c r="D128" i="17"/>
  <c r="D129" i="17" s="1"/>
  <c r="D131" i="17" s="1"/>
  <c r="G131" i="17"/>
  <c r="D88" i="17"/>
  <c r="D241" i="17"/>
  <c r="D233" i="17"/>
  <c r="D234" i="17" s="1"/>
  <c r="D229" i="17"/>
  <c r="D159" i="17"/>
  <c r="D158" i="17"/>
  <c r="D162" i="17" s="1"/>
  <c r="D80" i="17"/>
  <c r="D159" i="19"/>
  <c r="D158" i="19"/>
  <c r="D162" i="19" s="1"/>
  <c r="D210" i="19"/>
  <c r="D225" i="19" s="1"/>
  <c r="D68" i="19"/>
  <c r="D94" i="19"/>
  <c r="D81" i="19"/>
  <c r="D69" i="19" s="1"/>
  <c r="D80" i="19"/>
  <c r="D54" i="19"/>
  <c r="D233" i="19"/>
  <c r="D234" i="19" s="1"/>
  <c r="D128" i="19"/>
  <c r="D129" i="19" s="1"/>
  <c r="D131" i="19" s="1"/>
  <c r="G131" i="19"/>
  <c r="E121" i="18"/>
  <c r="D241" i="19"/>
  <c r="D88" i="19"/>
  <c r="D94" i="20"/>
  <c r="D80" i="20"/>
  <c r="D59" i="20" s="1"/>
  <c r="D210" i="20"/>
  <c r="D225" i="20" s="1"/>
  <c r="D68" i="20"/>
  <c r="D128" i="20"/>
  <c r="D129" i="20" s="1"/>
  <c r="D131" i="20" s="1"/>
  <c r="G131" i="20"/>
  <c r="D90" i="20"/>
  <c r="D87" i="20"/>
  <c r="D191" i="20"/>
  <c r="F121" i="18"/>
  <c r="D190" i="20"/>
  <c r="D149" i="25"/>
  <c r="D159" i="25" s="1"/>
  <c r="D77" i="25"/>
  <c r="D57" i="25" s="1"/>
  <c r="D189" i="25" s="1"/>
  <c r="D90" i="25"/>
  <c r="D87" i="25"/>
  <c r="D191" i="25"/>
  <c r="D158" i="25"/>
  <c r="D162" i="25" s="1"/>
  <c r="D128" i="25"/>
  <c r="D129" i="25" s="1"/>
  <c r="D131" i="25" s="1"/>
  <c r="G131" i="25"/>
  <c r="D88" i="24"/>
  <c r="D241" i="24"/>
  <c r="D128" i="24"/>
  <c r="D129" i="24" s="1"/>
  <c r="D131" i="24" s="1"/>
  <c r="G131" i="24"/>
  <c r="E186" i="21"/>
  <c r="D90" i="21"/>
  <c r="D87" i="21"/>
  <c r="D191" i="21"/>
  <c r="D159" i="21"/>
  <c r="D158" i="21"/>
  <c r="D162" i="21" s="1"/>
  <c r="D128" i="21"/>
  <c r="D129" i="21" s="1"/>
  <c r="D131" i="21" s="1"/>
  <c r="G131" i="21"/>
  <c r="D79" i="21"/>
  <c r="D54" i="21"/>
  <c r="D94" i="21"/>
  <c r="D210" i="21"/>
  <c r="D225" i="21" s="1"/>
  <c r="D81" i="21"/>
  <c r="D69" i="21" s="1"/>
  <c r="D80" i="21"/>
  <c r="D68" i="21"/>
  <c r="D77" i="23"/>
  <c r="D149" i="23"/>
  <c r="D158" i="23" s="1"/>
  <c r="D162" i="23" s="1"/>
  <c r="D10" i="18"/>
  <c r="J117" i="18"/>
  <c r="G117" i="18"/>
  <c r="E115" i="18"/>
  <c r="D120" i="22"/>
  <c r="H117" i="18" s="1"/>
  <c r="K117" i="18"/>
  <c r="F10" i="18"/>
  <c r="D95" i="18"/>
  <c r="D15" i="18"/>
  <c r="D198" i="18"/>
  <c r="D197" i="18"/>
  <c r="I82" i="18"/>
  <c r="I15" i="18"/>
  <c r="E204" i="18"/>
  <c r="E95" i="18"/>
  <c r="F95" i="18"/>
  <c r="K95" i="18"/>
  <c r="G237" i="18"/>
  <c r="E198" i="18"/>
  <c r="I237" i="18"/>
  <c r="G95" i="18"/>
  <c r="H95" i="18"/>
  <c r="J237" i="18"/>
  <c r="E237" i="18"/>
  <c r="K237" i="18"/>
  <c r="J95" i="18"/>
  <c r="I51" i="18"/>
  <c r="I95" i="18"/>
  <c r="K10" i="23"/>
  <c r="B2" i="23"/>
  <c r="K10" i="22"/>
  <c r="B2" i="22"/>
  <c r="K51" i="18"/>
  <c r="K50" i="18"/>
  <c r="J50" i="18"/>
  <c r="J51" i="18"/>
  <c r="F50" i="18"/>
  <c r="F51" i="18"/>
  <c r="D121" i="18"/>
  <c r="E51" i="18"/>
  <c r="E50" i="18"/>
  <c r="D51" i="18"/>
  <c r="D50" i="18"/>
  <c r="F117" i="18"/>
  <c r="E117" i="18"/>
  <c r="G51" i="18"/>
  <c r="G50" i="18"/>
  <c r="H51" i="18"/>
  <c r="H50" i="18"/>
  <c r="D124" i="22"/>
  <c r="H121" i="18" s="1"/>
  <c r="D247" i="19" l="1"/>
  <c r="D246" i="19" s="1"/>
  <c r="D244" i="19"/>
  <c r="D245" i="19" s="1"/>
  <c r="K186" i="18"/>
  <c r="D200" i="25"/>
  <c r="D149" i="24"/>
  <c r="D77" i="24"/>
  <c r="E186" i="24"/>
  <c r="D51" i="21"/>
  <c r="D79" i="20"/>
  <c r="D57" i="20"/>
  <c r="D189" i="20" s="1"/>
  <c r="D81" i="20"/>
  <c r="D69" i="20" s="1"/>
  <c r="D78" i="23"/>
  <c r="D57" i="23"/>
  <c r="D189" i="23" s="1"/>
  <c r="D54" i="25"/>
  <c r="D78" i="20"/>
  <c r="D68" i="25"/>
  <c r="D200" i="21"/>
  <c r="D207" i="21"/>
  <c r="G186" i="18"/>
  <c r="D78" i="17"/>
  <c r="D57" i="17"/>
  <c r="D54" i="17" s="1"/>
  <c r="D68" i="17"/>
  <c r="D210" i="17"/>
  <c r="D225" i="17" s="1"/>
  <c r="D79" i="17"/>
  <c r="D94" i="17"/>
  <c r="D81" i="17"/>
  <c r="D69" i="17" s="1"/>
  <c r="D54" i="20"/>
  <c r="D51" i="20"/>
  <c r="D158" i="20"/>
  <c r="D162" i="20" s="1"/>
  <c r="D79" i="25"/>
  <c r="D78" i="25"/>
  <c r="F125" i="18"/>
  <c r="G125" i="18"/>
  <c r="D79" i="23"/>
  <c r="D159" i="23"/>
  <c r="D165" i="23" s="1"/>
  <c r="D51" i="19"/>
  <c r="D87" i="23"/>
  <c r="D191" i="23"/>
  <c r="I188" i="18" s="1"/>
  <c r="D90" i="23"/>
  <c r="D128" i="23"/>
  <c r="D129" i="23" s="1"/>
  <c r="D131" i="23" s="1"/>
  <c r="G131" i="23"/>
  <c r="D81" i="25"/>
  <c r="D69" i="25" s="1"/>
  <c r="I50" i="18"/>
  <c r="D94" i="25"/>
  <c r="D80" i="25"/>
  <c r="D95" i="25" s="1"/>
  <c r="D96" i="17"/>
  <c r="D58" i="17"/>
  <c r="D95" i="17"/>
  <c r="D66" i="17"/>
  <c r="K65" i="17" s="1"/>
  <c r="D59" i="17"/>
  <c r="F159" i="17"/>
  <c r="D165" i="17"/>
  <c r="D96" i="19"/>
  <c r="E125" i="18"/>
  <c r="D58" i="19"/>
  <c r="D95" i="19"/>
  <c r="D93" i="19" s="1"/>
  <c r="D66" i="19"/>
  <c r="K65" i="19" s="1"/>
  <c r="D59" i="19"/>
  <c r="F159" i="19"/>
  <c r="D165" i="19"/>
  <c r="D66" i="20"/>
  <c r="K65" i="20" s="1"/>
  <c r="D96" i="20"/>
  <c r="D88" i="20"/>
  <c r="D241" i="20"/>
  <c r="D95" i="20"/>
  <c r="D58" i="20"/>
  <c r="D197" i="20" s="1"/>
  <c r="D165" i="20"/>
  <c r="F159" i="20"/>
  <c r="D210" i="25"/>
  <c r="D225" i="25" s="1"/>
  <c r="D88" i="25"/>
  <c r="D241" i="25"/>
  <c r="F159" i="25"/>
  <c r="D165" i="25"/>
  <c r="D96" i="25"/>
  <c r="D66" i="25"/>
  <c r="K65" i="25" s="1"/>
  <c r="K125" i="18"/>
  <c r="D88" i="21"/>
  <c r="D241" i="21"/>
  <c r="D95" i="21"/>
  <c r="D58" i="21"/>
  <c r="D66" i="21"/>
  <c r="K65" i="21" s="1"/>
  <c r="D59" i="21"/>
  <c r="F159" i="21"/>
  <c r="D165" i="21"/>
  <c r="D96" i="21"/>
  <c r="D81" i="23"/>
  <c r="D215" i="23" s="1"/>
  <c r="D223" i="23" s="1"/>
  <c r="D94" i="23"/>
  <c r="D96" i="23" s="1"/>
  <c r="D210" i="23"/>
  <c r="D225" i="23" s="1"/>
  <c r="D54" i="23"/>
  <c r="D68" i="23"/>
  <c r="D80" i="23"/>
  <c r="D66" i="23" s="1"/>
  <c r="K65" i="23" s="1"/>
  <c r="F159" i="23"/>
  <c r="I117" i="18"/>
  <c r="D117" i="18"/>
  <c r="D204" i="18"/>
  <c r="I87" i="18"/>
  <c r="E211" i="18"/>
  <c r="J121" i="18"/>
  <c r="D122" i="22"/>
  <c r="H119" i="18" s="1"/>
  <c r="D191" i="22"/>
  <c r="H188" i="18" s="1"/>
  <c r="E119" i="18"/>
  <c r="I119" i="18"/>
  <c r="G131" i="22"/>
  <c r="F187" i="18"/>
  <c r="J119" i="18"/>
  <c r="J125" i="18"/>
  <c r="I187" i="18"/>
  <c r="K188" i="18"/>
  <c r="K87" i="18"/>
  <c r="K84" i="18"/>
  <c r="K187" i="18"/>
  <c r="J187" i="18"/>
  <c r="J84" i="18"/>
  <c r="J188" i="18"/>
  <c r="J87" i="18"/>
  <c r="F84" i="18"/>
  <c r="F87" i="18"/>
  <c r="F188" i="18"/>
  <c r="D84" i="18"/>
  <c r="D188" i="18"/>
  <c r="D87" i="18"/>
  <c r="E187" i="18"/>
  <c r="D187" i="18"/>
  <c r="E84" i="18"/>
  <c r="E87" i="18"/>
  <c r="E188" i="18"/>
  <c r="G84" i="18"/>
  <c r="G188" i="18"/>
  <c r="G87" i="18"/>
  <c r="G187" i="18"/>
  <c r="I125" i="18"/>
  <c r="D190" i="22"/>
  <c r="H187" i="18" s="1"/>
  <c r="D128" i="22"/>
  <c r="H125" i="18" s="1"/>
  <c r="D78" i="24" l="1"/>
  <c r="D57" i="24"/>
  <c r="D80" i="24"/>
  <c r="D68" i="24"/>
  <c r="D79" i="24"/>
  <c r="D94" i="24"/>
  <c r="D96" i="24" s="1"/>
  <c r="D81" i="24"/>
  <c r="D69" i="24" s="1"/>
  <c r="D210" i="24"/>
  <c r="D225" i="24" s="1"/>
  <c r="D207" i="23"/>
  <c r="D200" i="23"/>
  <c r="I186" i="18"/>
  <c r="D159" i="24"/>
  <c r="D158" i="24"/>
  <c r="D162" i="24" s="1"/>
  <c r="D201" i="25"/>
  <c r="K198" i="18" s="1"/>
  <c r="K197" i="18"/>
  <c r="D93" i="25"/>
  <c r="D214" i="21"/>
  <c r="G204" i="18"/>
  <c r="D200" i="20"/>
  <c r="F186" i="18"/>
  <c r="D207" i="25"/>
  <c r="D59" i="23"/>
  <c r="D201" i="21"/>
  <c r="G198" i="18" s="1"/>
  <c r="G197" i="18"/>
  <c r="D51" i="17"/>
  <c r="D58" i="23"/>
  <c r="D58" i="25"/>
  <c r="D195" i="25" s="1"/>
  <c r="D93" i="17"/>
  <c r="D174" i="17" s="1"/>
  <c r="D93" i="20"/>
  <c r="D174" i="20" s="1"/>
  <c r="D51" i="23"/>
  <c r="D95" i="23"/>
  <c r="D93" i="23" s="1"/>
  <c r="D168" i="23" s="1"/>
  <c r="D174" i="23" s="1"/>
  <c r="I84" i="18"/>
  <c r="D241" i="23"/>
  <c r="I238" i="18" s="1"/>
  <c r="D88" i="23"/>
  <c r="I85" i="18" s="1"/>
  <c r="D93" i="21"/>
  <c r="D174" i="21" s="1"/>
  <c r="D59" i="25"/>
  <c r="D51" i="25"/>
  <c r="D69" i="23"/>
  <c r="D192" i="17"/>
  <c r="D208" i="17" s="1"/>
  <c r="D216" i="17" s="1"/>
  <c r="D220" i="17" s="1"/>
  <c r="D195" i="17"/>
  <c r="D194" i="17"/>
  <c r="D65" i="17" s="1"/>
  <c r="D197" i="17"/>
  <c r="D73" i="17"/>
  <c r="D168" i="17"/>
  <c r="D72" i="17"/>
  <c r="D172" i="17"/>
  <c r="D166" i="17"/>
  <c r="D174" i="19"/>
  <c r="D192" i="19"/>
  <c r="D208" i="19" s="1"/>
  <c r="D216" i="19" s="1"/>
  <c r="D220" i="19" s="1"/>
  <c r="D194" i="19"/>
  <c r="D195" i="19"/>
  <c r="D197" i="19"/>
  <c r="D172" i="19"/>
  <c r="D166" i="19"/>
  <c r="D72" i="19"/>
  <c r="D168" i="19"/>
  <c r="D73" i="19"/>
  <c r="D192" i="20"/>
  <c r="D194" i="20"/>
  <c r="D195" i="20"/>
  <c r="D73" i="20"/>
  <c r="D168" i="20"/>
  <c r="D72" i="20"/>
  <c r="D166" i="20"/>
  <c r="D172" i="20"/>
  <c r="D174" i="25"/>
  <c r="D192" i="25"/>
  <c r="D208" i="25" s="1"/>
  <c r="D216" i="25" s="1"/>
  <c r="D220" i="25" s="1"/>
  <c r="D73" i="25"/>
  <c r="D168" i="25"/>
  <c r="D72" i="25"/>
  <c r="D172" i="25"/>
  <c r="D166" i="25"/>
  <c r="D168" i="24"/>
  <c r="D72" i="24"/>
  <c r="D73" i="21"/>
  <c r="D72" i="21"/>
  <c r="D168" i="21"/>
  <c r="D172" i="21"/>
  <c r="D166" i="21"/>
  <c r="D192" i="21"/>
  <c r="D194" i="21"/>
  <c r="D195" i="21"/>
  <c r="D197" i="21"/>
  <c r="D192" i="23"/>
  <c r="D208" i="23" s="1"/>
  <c r="D216" i="23" s="1"/>
  <c r="D220" i="23" s="1"/>
  <c r="D195" i="23"/>
  <c r="D194" i="23"/>
  <c r="D197" i="23"/>
  <c r="D72" i="23"/>
  <c r="D73" i="23"/>
  <c r="D172" i="23"/>
  <c r="D166" i="23"/>
  <c r="D211" i="18"/>
  <c r="D125" i="18"/>
  <c r="D119" i="18"/>
  <c r="E216" i="18"/>
  <c r="E212" i="18"/>
  <c r="E126" i="18"/>
  <c r="G126" i="18"/>
  <c r="G119" i="18"/>
  <c r="J126" i="18"/>
  <c r="K126" i="18"/>
  <c r="K119" i="18"/>
  <c r="F126" i="18"/>
  <c r="F119" i="18"/>
  <c r="I126" i="18"/>
  <c r="G132" i="18"/>
  <c r="D129" i="22"/>
  <c r="H126" i="18" s="1"/>
  <c r="K132" i="18"/>
  <c r="D135" i="22"/>
  <c r="H132" i="18" s="1"/>
  <c r="I212" i="18"/>
  <c r="J132" i="18"/>
  <c r="I132" i="18"/>
  <c r="E132" i="18"/>
  <c r="F132" i="18"/>
  <c r="K85" i="18"/>
  <c r="K238" i="18"/>
  <c r="J85" i="18"/>
  <c r="J238" i="18"/>
  <c r="F238" i="18"/>
  <c r="F85" i="18"/>
  <c r="E85" i="18"/>
  <c r="E238" i="18"/>
  <c r="D238" i="18"/>
  <c r="D85" i="18"/>
  <c r="G238" i="18"/>
  <c r="G85" i="18"/>
  <c r="D214" i="25" l="1"/>
  <c r="K204" i="18"/>
  <c r="D73" i="24"/>
  <c r="F197" i="18"/>
  <c r="K200" i="20"/>
  <c r="D201" i="20"/>
  <c r="F198" i="18" s="1"/>
  <c r="D51" i="24"/>
  <c r="D207" i="20"/>
  <c r="D165" i="24"/>
  <c r="F159" i="24"/>
  <c r="D208" i="20"/>
  <c r="D216" i="20" s="1"/>
  <c r="D220" i="20" s="1"/>
  <c r="D197" i="25"/>
  <c r="D58" i="24"/>
  <c r="D95" i="24"/>
  <c r="D93" i="24" s="1"/>
  <c r="D174" i="24" s="1"/>
  <c r="D66" i="24"/>
  <c r="K65" i="24" s="1"/>
  <c r="D59" i="24"/>
  <c r="D194" i="25"/>
  <c r="D215" i="21"/>
  <c r="D219" i="21"/>
  <c r="G211" i="18"/>
  <c r="D201" i="23"/>
  <c r="I198" i="18" s="1"/>
  <c r="I197" i="18"/>
  <c r="D189" i="24"/>
  <c r="D54" i="24"/>
  <c r="D214" i="23"/>
  <c r="I204" i="18"/>
  <c r="D208" i="21"/>
  <c r="D216" i="21" s="1"/>
  <c r="D220" i="21" s="1"/>
  <c r="D89" i="20"/>
  <c r="D89" i="17"/>
  <c r="D167" i="17"/>
  <c r="D182" i="17"/>
  <c r="D175" i="17"/>
  <c r="D173" i="17"/>
  <c r="D177" i="17"/>
  <c r="D211" i="17"/>
  <c r="D196" i="17"/>
  <c r="D67" i="17"/>
  <c r="D193" i="17"/>
  <c r="D65" i="19"/>
  <c r="D211" i="19"/>
  <c r="D67" i="19"/>
  <c r="D64" i="19" s="1"/>
  <c r="D196" i="19"/>
  <c r="D193" i="19"/>
  <c r="D177" i="19"/>
  <c r="D173" i="19"/>
  <c r="D175" i="19"/>
  <c r="D89" i="19"/>
  <c r="D167" i="19"/>
  <c r="D182" i="19"/>
  <c r="D167" i="20"/>
  <c r="D182" i="20"/>
  <c r="D177" i="20"/>
  <c r="D175" i="20"/>
  <c r="D173" i="20"/>
  <c r="D67" i="20"/>
  <c r="D211" i="20"/>
  <c r="D196" i="20"/>
  <c r="D65" i="20"/>
  <c r="D193" i="20"/>
  <c r="D89" i="25"/>
  <c r="D211" i="25"/>
  <c r="D196" i="25"/>
  <c r="D67" i="25"/>
  <c r="D65" i="25"/>
  <c r="D193" i="25"/>
  <c r="D182" i="25"/>
  <c r="D167" i="25"/>
  <c r="D177" i="25"/>
  <c r="D175" i="25"/>
  <c r="D173" i="25"/>
  <c r="D89" i="24"/>
  <c r="D167" i="21"/>
  <c r="D182" i="21"/>
  <c r="D177" i="21"/>
  <c r="D175" i="21"/>
  <c r="D173" i="21"/>
  <c r="D196" i="21"/>
  <c r="D211" i="21"/>
  <c r="D65" i="21"/>
  <c r="D67" i="21"/>
  <c r="D193" i="21"/>
  <c r="D89" i="21"/>
  <c r="D65" i="23"/>
  <c r="D211" i="23"/>
  <c r="D67" i="23"/>
  <c r="D196" i="23"/>
  <c r="D193" i="23"/>
  <c r="D175" i="23"/>
  <c r="D177" i="23"/>
  <c r="D173" i="23"/>
  <c r="D167" i="23"/>
  <c r="D182" i="23"/>
  <c r="D89" i="23"/>
  <c r="D132" i="18"/>
  <c r="D128" i="18"/>
  <c r="D126" i="18"/>
  <c r="D220" i="18"/>
  <c r="D212" i="18"/>
  <c r="D216" i="18"/>
  <c r="E225" i="18"/>
  <c r="G128" i="18"/>
  <c r="J128" i="18"/>
  <c r="K128" i="18"/>
  <c r="F128" i="18"/>
  <c r="E128" i="18"/>
  <c r="E220" i="18"/>
  <c r="F134" i="18"/>
  <c r="E134" i="18"/>
  <c r="I220" i="18"/>
  <c r="I134" i="18"/>
  <c r="D137" i="22"/>
  <c r="H134" i="18" s="1"/>
  <c r="D131" i="22"/>
  <c r="H128" i="18" s="1"/>
  <c r="I128" i="18"/>
  <c r="J134" i="18"/>
  <c r="K134" i="18"/>
  <c r="G134" i="18"/>
  <c r="D192" i="24" l="1"/>
  <c r="D208" i="24" s="1"/>
  <c r="D216" i="24" s="1"/>
  <c r="D220" i="24" s="1"/>
  <c r="D195" i="24"/>
  <c r="D197" i="24"/>
  <c r="D194" i="24"/>
  <c r="D214" i="20"/>
  <c r="F204" i="18"/>
  <c r="D228" i="21"/>
  <c r="G216" i="18"/>
  <c r="D200" i="24"/>
  <c r="J186" i="18"/>
  <c r="D223" i="21"/>
  <c r="G220" i="18" s="1"/>
  <c r="G212" i="18"/>
  <c r="D219" i="23"/>
  <c r="I211" i="18"/>
  <c r="D166" i="24"/>
  <c r="D172" i="24"/>
  <c r="D215" i="25"/>
  <c r="D219" i="25"/>
  <c r="K211" i="18"/>
  <c r="D186" i="17"/>
  <c r="D106" i="17" s="1"/>
  <c r="D185" i="17"/>
  <c r="J64" i="17"/>
  <c r="D222" i="17"/>
  <c r="D224" i="17" s="1"/>
  <c r="D232" i="17" s="1"/>
  <c r="D231" i="17" s="1"/>
  <c r="D169" i="17" s="1"/>
  <c r="K64" i="17"/>
  <c r="D202" i="17"/>
  <c r="D112" i="17"/>
  <c r="D113" i="17" s="1"/>
  <c r="D111" i="17" s="1"/>
  <c r="D114" i="17" s="1"/>
  <c r="J65" i="17"/>
  <c r="L65" i="17" s="1"/>
  <c r="D185" i="19"/>
  <c r="D186" i="19"/>
  <c r="D106" i="19" s="1"/>
  <c r="J64" i="19"/>
  <c r="D222" i="19"/>
  <c r="D224" i="19" s="1"/>
  <c r="D232" i="19" s="1"/>
  <c r="D231" i="19" s="1"/>
  <c r="D169" i="19" s="1"/>
  <c r="K64" i="19"/>
  <c r="D202" i="19"/>
  <c r="D112" i="19"/>
  <c r="D113" i="19" s="1"/>
  <c r="D111" i="19" s="1"/>
  <c r="D114" i="19" s="1"/>
  <c r="J65" i="19"/>
  <c r="L65" i="19" s="1"/>
  <c r="D64" i="20"/>
  <c r="J64" i="20" s="1"/>
  <c r="D222" i="20"/>
  <c r="D224" i="20" s="1"/>
  <c r="D232" i="20" s="1"/>
  <c r="D231" i="20" s="1"/>
  <c r="D169" i="20" s="1"/>
  <c r="K64" i="20"/>
  <c r="D186" i="20"/>
  <c r="D106" i="20" s="1"/>
  <c r="D185" i="20"/>
  <c r="D202" i="20"/>
  <c r="D112" i="20"/>
  <c r="D113" i="20" s="1"/>
  <c r="D111" i="20" s="1"/>
  <c r="D114" i="20" s="1"/>
  <c r="J65" i="20"/>
  <c r="L65" i="20" s="1"/>
  <c r="D186" i="25"/>
  <c r="D106" i="25" s="1"/>
  <c r="D185" i="25"/>
  <c r="D202" i="25"/>
  <c r="D112" i="25"/>
  <c r="D113" i="25" s="1"/>
  <c r="D111" i="25" s="1"/>
  <c r="D114" i="25" s="1"/>
  <c r="J65" i="25"/>
  <c r="L65" i="25" s="1"/>
  <c r="D64" i="25"/>
  <c r="J64" i="25" s="1"/>
  <c r="D222" i="25"/>
  <c r="D224" i="25" s="1"/>
  <c r="D232" i="25" s="1"/>
  <c r="D231" i="25" s="1"/>
  <c r="D169" i="25" s="1"/>
  <c r="K64" i="25"/>
  <c r="D202" i="21"/>
  <c r="D112" i="21"/>
  <c r="D113" i="21" s="1"/>
  <c r="D111" i="21" s="1"/>
  <c r="D114" i="21" s="1"/>
  <c r="J65" i="21"/>
  <c r="L65" i="21" s="1"/>
  <c r="D186" i="21"/>
  <c r="D106" i="21" s="1"/>
  <c r="D185" i="21"/>
  <c r="D64" i="21"/>
  <c r="J64" i="21" s="1"/>
  <c r="K64" i="21"/>
  <c r="D222" i="21"/>
  <c r="D224" i="21" s="1"/>
  <c r="D232" i="21" s="1"/>
  <c r="D231" i="21" s="1"/>
  <c r="D169" i="21" s="1"/>
  <c r="D222" i="23"/>
  <c r="D224" i="23" s="1"/>
  <c r="D232" i="23" s="1"/>
  <c r="D231" i="23" s="1"/>
  <c r="D169" i="23" s="1"/>
  <c r="K64" i="23"/>
  <c r="D64" i="23"/>
  <c r="J64" i="23" s="1"/>
  <c r="D186" i="23"/>
  <c r="D106" i="23" s="1"/>
  <c r="D185" i="23"/>
  <c r="D112" i="23"/>
  <c r="D113" i="23" s="1"/>
  <c r="D111" i="23" s="1"/>
  <c r="D114" i="23" s="1"/>
  <c r="D202" i="23"/>
  <c r="J65" i="23"/>
  <c r="L65" i="23" s="1"/>
  <c r="D225" i="18"/>
  <c r="D226" i="18"/>
  <c r="D134" i="18"/>
  <c r="E226" i="18"/>
  <c r="E234" i="18"/>
  <c r="E230" i="18"/>
  <c r="E241" i="18"/>
  <c r="J75" i="18"/>
  <c r="J146" i="18"/>
  <c r="D77" i="22"/>
  <c r="D149" i="22"/>
  <c r="H146" i="18" s="1"/>
  <c r="E186" i="22"/>
  <c r="E146" i="18"/>
  <c r="E75" i="18"/>
  <c r="I146" i="18"/>
  <c r="I75" i="18"/>
  <c r="G75" i="18"/>
  <c r="G146" i="18"/>
  <c r="K75" i="18"/>
  <c r="K146" i="18"/>
  <c r="F75" i="18"/>
  <c r="F146" i="18"/>
  <c r="D228" i="23" l="1"/>
  <c r="I216" i="18"/>
  <c r="D219" i="20"/>
  <c r="D215" i="20"/>
  <c r="F211" i="18"/>
  <c r="D78" i="22"/>
  <c r="D57" i="22"/>
  <c r="D189" i="22" s="1"/>
  <c r="D67" i="24"/>
  <c r="D211" i="24"/>
  <c r="D193" i="24"/>
  <c r="D65" i="24"/>
  <c r="D196" i="24"/>
  <c r="D228" i="25"/>
  <c r="K216" i="18"/>
  <c r="D167" i="24"/>
  <c r="D182" i="24"/>
  <c r="D237" i="21"/>
  <c r="D229" i="21"/>
  <c r="G226" i="18" s="1"/>
  <c r="D233" i="21"/>
  <c r="G225" i="18"/>
  <c r="D223" i="25"/>
  <c r="K220" i="18" s="1"/>
  <c r="K212" i="18"/>
  <c r="D201" i="24"/>
  <c r="J198" i="18" s="1"/>
  <c r="J197" i="18"/>
  <c r="D177" i="24"/>
  <c r="D175" i="24"/>
  <c r="D173" i="24"/>
  <c r="D207" i="24"/>
  <c r="L64" i="21"/>
  <c r="M64" i="21" s="1"/>
  <c r="L64" i="23"/>
  <c r="M64" i="23" s="1"/>
  <c r="L64" i="17"/>
  <c r="M64" i="17" s="1"/>
  <c r="H75" i="18"/>
  <c r="L64" i="20"/>
  <c r="M64" i="20" s="1"/>
  <c r="L64" i="19"/>
  <c r="M64" i="19" s="1"/>
  <c r="L64" i="25"/>
  <c r="M64" i="25" s="1"/>
  <c r="D75" i="18"/>
  <c r="D66" i="18"/>
  <c r="D76" i="18"/>
  <c r="D146" i="18"/>
  <c r="E242" i="18"/>
  <c r="D234" i="18"/>
  <c r="D241" i="18"/>
  <c r="G234" i="18"/>
  <c r="D231" i="18"/>
  <c r="D230" i="18"/>
  <c r="E231" i="18"/>
  <c r="E235" i="18"/>
  <c r="K78" i="18"/>
  <c r="K207" i="18"/>
  <c r="K77" i="18"/>
  <c r="K55" i="18"/>
  <c r="K76" i="18"/>
  <c r="K66" i="18"/>
  <c r="D159" i="22"/>
  <c r="H156" i="18" s="1"/>
  <c r="D158" i="22"/>
  <c r="H155" i="18" s="1"/>
  <c r="I76" i="18"/>
  <c r="I78" i="18"/>
  <c r="I207" i="18"/>
  <c r="I77" i="18"/>
  <c r="I66" i="18"/>
  <c r="I55" i="18"/>
  <c r="F156" i="18"/>
  <c r="F155" i="18"/>
  <c r="G156" i="18"/>
  <c r="G155" i="18"/>
  <c r="I155" i="18"/>
  <c r="I156" i="18"/>
  <c r="G76" i="18"/>
  <c r="G207" i="18"/>
  <c r="G66" i="18"/>
  <c r="G55" i="18"/>
  <c r="G78" i="18"/>
  <c r="G77" i="18"/>
  <c r="E66" i="18"/>
  <c r="E76" i="18"/>
  <c r="E78" i="18"/>
  <c r="E207" i="18"/>
  <c r="E77" i="18"/>
  <c r="E55" i="18"/>
  <c r="F207" i="18"/>
  <c r="F77" i="18"/>
  <c r="F76" i="18"/>
  <c r="F55" i="18"/>
  <c r="F78" i="18"/>
  <c r="F66" i="18"/>
  <c r="D210" i="22"/>
  <c r="H207" i="18" s="1"/>
  <c r="D80" i="22"/>
  <c r="H77" i="18" s="1"/>
  <c r="D79" i="22"/>
  <c r="D68" i="22"/>
  <c r="H66" i="18" s="1"/>
  <c r="D81" i="22"/>
  <c r="H78" i="18" s="1"/>
  <c r="D94" i="22"/>
  <c r="K156" i="18"/>
  <c r="K155" i="18"/>
  <c r="E155" i="18"/>
  <c r="E156" i="18"/>
  <c r="J156" i="18"/>
  <c r="J155" i="18"/>
  <c r="J78" i="18"/>
  <c r="J76" i="18"/>
  <c r="J207" i="18"/>
  <c r="J77" i="18"/>
  <c r="J55" i="18"/>
  <c r="J66" i="18"/>
  <c r="H186" i="18" l="1"/>
  <c r="D200" i="22"/>
  <c r="D237" i="25"/>
  <c r="D229" i="25"/>
  <c r="K226" i="18" s="1"/>
  <c r="D233" i="25"/>
  <c r="K225" i="18"/>
  <c r="D214" i="24"/>
  <c r="J204" i="18"/>
  <c r="D223" i="20"/>
  <c r="F220" i="18" s="1"/>
  <c r="F212" i="18"/>
  <c r="D186" i="24"/>
  <c r="D106" i="24" s="1"/>
  <c r="D185" i="24"/>
  <c r="D234" i="21"/>
  <c r="G231" i="18" s="1"/>
  <c r="G230" i="18"/>
  <c r="D112" i="24"/>
  <c r="D113" i="24" s="1"/>
  <c r="D111" i="24" s="1"/>
  <c r="D114" i="24" s="1"/>
  <c r="J65" i="24"/>
  <c r="L65" i="24" s="1"/>
  <c r="D202" i="24"/>
  <c r="D228" i="20"/>
  <c r="F216" i="18"/>
  <c r="D222" i="24"/>
  <c r="D224" i="24" s="1"/>
  <c r="D232" i="24" s="1"/>
  <c r="D231" i="24" s="1"/>
  <c r="D169" i="24" s="1"/>
  <c r="D64" i="24"/>
  <c r="J64" i="24" s="1"/>
  <c r="K64" i="24"/>
  <c r="H55" i="18"/>
  <c r="D244" i="21"/>
  <c r="G241" i="18" s="1"/>
  <c r="D245" i="21"/>
  <c r="D246" i="21" s="1"/>
  <c r="D238" i="21"/>
  <c r="D229" i="23"/>
  <c r="I226" i="18" s="1"/>
  <c r="D237" i="23"/>
  <c r="D233" i="23"/>
  <c r="I225" i="18"/>
  <c r="H76" i="18"/>
  <c r="D51" i="22"/>
  <c r="F91" i="18"/>
  <c r="G91" i="18"/>
  <c r="E91" i="18"/>
  <c r="I91" i="18"/>
  <c r="K91" i="18"/>
  <c r="J91" i="18"/>
  <c r="H91" i="18"/>
  <c r="D244" i="18"/>
  <c r="D235" i="18"/>
  <c r="G242" i="18"/>
  <c r="D242" i="18"/>
  <c r="D77" i="18"/>
  <c r="D92" i="18"/>
  <c r="D57" i="18"/>
  <c r="D78" i="18"/>
  <c r="D67" i="18"/>
  <c r="D222" i="18"/>
  <c r="D207" i="18"/>
  <c r="D91" i="18"/>
  <c r="D159" i="18"/>
  <c r="D155" i="18"/>
  <c r="D156" i="18"/>
  <c r="D55" i="18"/>
  <c r="D52" i="18"/>
  <c r="E244" i="18"/>
  <c r="J52" i="18"/>
  <c r="G222" i="18"/>
  <c r="I159" i="18"/>
  <c r="I52" i="18"/>
  <c r="F222" i="18"/>
  <c r="J159" i="18"/>
  <c r="D54" i="22"/>
  <c r="H52" i="18" s="1"/>
  <c r="D59" i="22"/>
  <c r="H57" i="18" s="1"/>
  <c r="D66" i="22"/>
  <c r="K65" i="22" s="1"/>
  <c r="D95" i="22"/>
  <c r="H92" i="18" s="1"/>
  <c r="D58" i="22"/>
  <c r="H56" i="18" s="1"/>
  <c r="F67" i="18"/>
  <c r="D162" i="22"/>
  <c r="H159" i="18" s="1"/>
  <c r="K52" i="18"/>
  <c r="E52" i="18"/>
  <c r="G57" i="18"/>
  <c r="G56" i="18"/>
  <c r="G92" i="18"/>
  <c r="G159" i="18"/>
  <c r="K56" i="18"/>
  <c r="K92" i="18"/>
  <c r="K57" i="18"/>
  <c r="E57" i="18"/>
  <c r="E92" i="18"/>
  <c r="E56" i="18"/>
  <c r="E159" i="18"/>
  <c r="E222" i="18"/>
  <c r="G93" i="18"/>
  <c r="I67" i="18"/>
  <c r="K67" i="18"/>
  <c r="J92" i="18"/>
  <c r="J57" i="18"/>
  <c r="J56" i="18"/>
  <c r="F93" i="18"/>
  <c r="F159" i="22"/>
  <c r="D165" i="22"/>
  <c r="J222" i="18"/>
  <c r="D225" i="22"/>
  <c r="H222" i="18" s="1"/>
  <c r="F52" i="18"/>
  <c r="G67" i="18"/>
  <c r="K222" i="18"/>
  <c r="J93" i="18"/>
  <c r="D96" i="22"/>
  <c r="E67" i="18"/>
  <c r="G52" i="18"/>
  <c r="F159" i="18"/>
  <c r="I93" i="18"/>
  <c r="K93" i="18"/>
  <c r="I92" i="18"/>
  <c r="I64" i="18"/>
  <c r="I57" i="18"/>
  <c r="I56" i="18"/>
  <c r="I222" i="18"/>
  <c r="J67" i="18"/>
  <c r="K159" i="18"/>
  <c r="D69" i="22"/>
  <c r="H67" i="18" s="1"/>
  <c r="F56" i="18"/>
  <c r="F92" i="18"/>
  <c r="F57" i="18"/>
  <c r="E93" i="18"/>
  <c r="D234" i="23" l="1"/>
  <c r="I231" i="18" s="1"/>
  <c r="I230" i="18"/>
  <c r="L64" i="24"/>
  <c r="M64" i="24" s="1"/>
  <c r="D234" i="25"/>
  <c r="K231" i="18" s="1"/>
  <c r="K230" i="18"/>
  <c r="D245" i="25"/>
  <c r="D244" i="25"/>
  <c r="K241" i="18" s="1"/>
  <c r="D238" i="25"/>
  <c r="K234" i="18"/>
  <c r="D247" i="21"/>
  <c r="G244" i="18" s="1"/>
  <c r="G235" i="18"/>
  <c r="D229" i="20"/>
  <c r="F226" i="18" s="1"/>
  <c r="D237" i="20"/>
  <c r="D233" i="20"/>
  <c r="F225" i="18"/>
  <c r="H197" i="18"/>
  <c r="D201" i="22"/>
  <c r="H198" i="18" s="1"/>
  <c r="D215" i="24"/>
  <c r="D219" i="24"/>
  <c r="J211" i="18"/>
  <c r="D238" i="23"/>
  <c r="J243" i="23"/>
  <c r="D244" i="23"/>
  <c r="I241" i="18" s="1"/>
  <c r="J240" i="23"/>
  <c r="J242" i="23"/>
  <c r="D245" i="23"/>
  <c r="J244" i="23"/>
  <c r="J239" i="23"/>
  <c r="J241" i="23"/>
  <c r="I234" i="18"/>
  <c r="D207" i="22"/>
  <c r="F64" i="18"/>
  <c r="D64" i="18"/>
  <c r="G90" i="18"/>
  <c r="G64" i="18"/>
  <c r="E64" i="18"/>
  <c r="K64" i="18"/>
  <c r="J64" i="18"/>
  <c r="I199" i="18"/>
  <c r="I63" i="18"/>
  <c r="H64" i="18"/>
  <c r="E162" i="18"/>
  <c r="K162" i="18"/>
  <c r="F162" i="18"/>
  <c r="G162" i="18"/>
  <c r="J162" i="18"/>
  <c r="H162" i="18"/>
  <c r="I162" i="18"/>
  <c r="E90" i="18"/>
  <c r="H93" i="18"/>
  <c r="D168" i="22"/>
  <c r="H165" i="18" s="1"/>
  <c r="D93" i="22"/>
  <c r="D162" i="18"/>
  <c r="D56" i="18"/>
  <c r="D194" i="18"/>
  <c r="D192" i="18"/>
  <c r="D93" i="18"/>
  <c r="D70" i="18"/>
  <c r="D71" i="18"/>
  <c r="D192" i="22"/>
  <c r="H189" i="18" s="1"/>
  <c r="J70" i="18"/>
  <c r="J71" i="18"/>
  <c r="J194" i="18"/>
  <c r="J189" i="18"/>
  <c r="J192" i="18"/>
  <c r="E163" i="18"/>
  <c r="K71" i="18"/>
  <c r="K70" i="18"/>
  <c r="G163" i="18"/>
  <c r="I71" i="18"/>
  <c r="I70" i="18"/>
  <c r="E194" i="18"/>
  <c r="E192" i="18"/>
  <c r="E189" i="18"/>
  <c r="I163" i="18"/>
  <c r="E70" i="18"/>
  <c r="E49" i="18"/>
  <c r="E71" i="18"/>
  <c r="G194" i="18"/>
  <c r="G189" i="18"/>
  <c r="G192" i="18"/>
  <c r="K194" i="18"/>
  <c r="K192" i="18"/>
  <c r="K189" i="18"/>
  <c r="D166" i="22"/>
  <c r="H163" i="18" s="1"/>
  <c r="D172" i="22"/>
  <c r="I194" i="18"/>
  <c r="I192" i="18"/>
  <c r="I189" i="18"/>
  <c r="I191" i="18"/>
  <c r="D72" i="22"/>
  <c r="H70" i="18" s="1"/>
  <c r="D73" i="22"/>
  <c r="H71" i="18" s="1"/>
  <c r="G70" i="18"/>
  <c r="G71" i="18"/>
  <c r="J163" i="18"/>
  <c r="K163" i="18"/>
  <c r="F163" i="18"/>
  <c r="F189" i="18"/>
  <c r="F192" i="18"/>
  <c r="F194" i="18"/>
  <c r="F71" i="18"/>
  <c r="F70" i="18"/>
  <c r="D214" i="22" l="1"/>
  <c r="H204" i="18"/>
  <c r="D234" i="20"/>
  <c r="F231" i="18" s="1"/>
  <c r="F230" i="18"/>
  <c r="D246" i="25"/>
  <c r="K242" i="18"/>
  <c r="D247" i="23"/>
  <c r="I244" i="18" s="1"/>
  <c r="I235" i="18"/>
  <c r="D247" i="20"/>
  <c r="D244" i="20"/>
  <c r="D238" i="20"/>
  <c r="F235" i="18" s="1"/>
  <c r="F234" i="18"/>
  <c r="D228" i="24"/>
  <c r="J216" i="18"/>
  <c r="D247" i="25"/>
  <c r="K244" i="18" s="1"/>
  <c r="K235" i="18"/>
  <c r="D246" i="23"/>
  <c r="I242" i="18"/>
  <c r="D223" i="24"/>
  <c r="J220" i="18" s="1"/>
  <c r="J212" i="18"/>
  <c r="G49" i="18"/>
  <c r="G171" i="18"/>
  <c r="G169" i="18"/>
  <c r="F191" i="18"/>
  <c r="G191" i="18"/>
  <c r="E191" i="18"/>
  <c r="E169" i="18"/>
  <c r="F169" i="18"/>
  <c r="J191" i="18"/>
  <c r="K191" i="18"/>
  <c r="I109" i="18"/>
  <c r="G86" i="18"/>
  <c r="D90" i="18"/>
  <c r="I90" i="18"/>
  <c r="J90" i="18"/>
  <c r="F90" i="18"/>
  <c r="E83" i="18"/>
  <c r="E86" i="18"/>
  <c r="K90" i="18"/>
  <c r="E165" i="18"/>
  <c r="E171" i="18"/>
  <c r="K169" i="18"/>
  <c r="J169" i="18"/>
  <c r="I169" i="18"/>
  <c r="D174" i="22"/>
  <c r="H90" i="18"/>
  <c r="H169" i="18"/>
  <c r="D189" i="18"/>
  <c r="D163" i="18"/>
  <c r="D164" i="18"/>
  <c r="D169" i="18"/>
  <c r="D174" i="18"/>
  <c r="D170" i="18"/>
  <c r="D191" i="18"/>
  <c r="D193" i="18"/>
  <c r="D190" i="18"/>
  <c r="J170" i="18"/>
  <c r="J174" i="18"/>
  <c r="D173" i="22"/>
  <c r="H170" i="18" s="1"/>
  <c r="D182" i="22"/>
  <c r="H179" i="18" s="1"/>
  <c r="D167" i="22"/>
  <c r="H164" i="18" s="1"/>
  <c r="K174" i="18"/>
  <c r="K170" i="18"/>
  <c r="E170" i="18"/>
  <c r="E174" i="18"/>
  <c r="K179" i="18"/>
  <c r="K164" i="18"/>
  <c r="I193" i="18"/>
  <c r="I208" i="18"/>
  <c r="I190" i="18"/>
  <c r="K205" i="18"/>
  <c r="G205" i="18"/>
  <c r="I170" i="18"/>
  <c r="I174" i="18"/>
  <c r="G179" i="18"/>
  <c r="G164" i="18"/>
  <c r="E164" i="18"/>
  <c r="E179" i="18"/>
  <c r="E193" i="18"/>
  <c r="E208" i="18"/>
  <c r="E190" i="18"/>
  <c r="F190" i="18"/>
  <c r="F193" i="18"/>
  <c r="F208" i="18"/>
  <c r="I205" i="18"/>
  <c r="K208" i="18"/>
  <c r="K190" i="18"/>
  <c r="K193" i="18"/>
  <c r="G193" i="18"/>
  <c r="G208" i="18"/>
  <c r="G190" i="18"/>
  <c r="I164" i="18"/>
  <c r="I179" i="18"/>
  <c r="G170" i="18"/>
  <c r="G174" i="18"/>
  <c r="J164" i="18"/>
  <c r="J179" i="18"/>
  <c r="J205" i="18"/>
  <c r="D208" i="22"/>
  <c r="H205" i="18" s="1"/>
  <c r="F164" i="18"/>
  <c r="F179" i="18"/>
  <c r="F205" i="18"/>
  <c r="E205" i="18"/>
  <c r="J193" i="18"/>
  <c r="J208" i="18"/>
  <c r="J190" i="18"/>
  <c r="F174" i="18"/>
  <c r="F170" i="18"/>
  <c r="D177" i="22"/>
  <c r="H174" i="18" s="1"/>
  <c r="D246" i="20" l="1"/>
  <c r="F244" i="18"/>
  <c r="H211" i="18"/>
  <c r="D215" i="22"/>
  <c r="D219" i="22"/>
  <c r="D237" i="24"/>
  <c r="D233" i="24"/>
  <c r="D229" i="24"/>
  <c r="J225" i="18"/>
  <c r="D245" i="20"/>
  <c r="F242" i="18" s="1"/>
  <c r="F241" i="18"/>
  <c r="G83" i="18"/>
  <c r="G165" i="18"/>
  <c r="E172" i="18"/>
  <c r="F199" i="18"/>
  <c r="F63" i="18"/>
  <c r="E199" i="18"/>
  <c r="E63" i="18"/>
  <c r="D63" i="18"/>
  <c r="D199" i="18"/>
  <c r="D65" i="18"/>
  <c r="D219" i="18"/>
  <c r="G172" i="18"/>
  <c r="G199" i="18"/>
  <c r="G63" i="18"/>
  <c r="K63" i="18"/>
  <c r="K199" i="18"/>
  <c r="J63" i="18"/>
  <c r="J199" i="18"/>
  <c r="I110" i="18"/>
  <c r="K165" i="18"/>
  <c r="J165" i="18"/>
  <c r="D165" i="18"/>
  <c r="D86" i="18"/>
  <c r="D83" i="18"/>
  <c r="D49" i="18"/>
  <c r="K83" i="18"/>
  <c r="K86" i="18"/>
  <c r="K49" i="18"/>
  <c r="F165" i="18"/>
  <c r="J83" i="18"/>
  <c r="J86" i="18"/>
  <c r="J49" i="18"/>
  <c r="I83" i="18"/>
  <c r="I86" i="18"/>
  <c r="I49" i="18"/>
  <c r="F83" i="18"/>
  <c r="F86" i="18"/>
  <c r="F49" i="18"/>
  <c r="I165" i="18"/>
  <c r="H171" i="18"/>
  <c r="D175" i="22"/>
  <c r="H172" i="18" s="1"/>
  <c r="H83" i="18"/>
  <c r="D89" i="22"/>
  <c r="H86" i="18" s="1"/>
  <c r="D179" i="18"/>
  <c r="D182" i="18"/>
  <c r="D208" i="18"/>
  <c r="D205" i="18"/>
  <c r="E183" i="18"/>
  <c r="E182" i="18"/>
  <c r="I213" i="18"/>
  <c r="D216" i="22"/>
  <c r="H213" i="18" s="1"/>
  <c r="G213" i="18"/>
  <c r="K183" i="18"/>
  <c r="K182" i="18"/>
  <c r="F213" i="18"/>
  <c r="G182" i="18"/>
  <c r="G183" i="18"/>
  <c r="J213" i="18"/>
  <c r="F183" i="18"/>
  <c r="F182" i="18"/>
  <c r="K213" i="18"/>
  <c r="E213" i="18"/>
  <c r="I183" i="18"/>
  <c r="I182" i="18"/>
  <c r="J182" i="18"/>
  <c r="J183" i="18"/>
  <c r="D185" i="22"/>
  <c r="H182" i="18" s="1"/>
  <c r="D186" i="22"/>
  <c r="H183" i="18" s="1"/>
  <c r="D195" i="22"/>
  <c r="H192" i="18" s="1"/>
  <c r="D234" i="24" l="1"/>
  <c r="J231" i="18" s="1"/>
  <c r="J230" i="18"/>
  <c r="H216" i="18"/>
  <c r="D228" i="22"/>
  <c r="D244" i="24"/>
  <c r="J241" i="18" s="1"/>
  <c r="D245" i="24"/>
  <c r="J234" i="18"/>
  <c r="D238" i="24"/>
  <c r="J226" i="18"/>
  <c r="H212" i="18"/>
  <c r="D223" i="22"/>
  <c r="H220" i="18" s="1"/>
  <c r="D109" i="18"/>
  <c r="F109" i="18"/>
  <c r="G109" i="18"/>
  <c r="D62" i="18"/>
  <c r="E109" i="18"/>
  <c r="J109" i="18"/>
  <c r="K109" i="18"/>
  <c r="I111" i="18"/>
  <c r="I108" i="18"/>
  <c r="D171" i="18"/>
  <c r="D172" i="18"/>
  <c r="F171" i="18"/>
  <c r="F172" i="18"/>
  <c r="J171" i="18"/>
  <c r="J172" i="18"/>
  <c r="I171" i="18"/>
  <c r="I172" i="18"/>
  <c r="K171" i="18"/>
  <c r="K172" i="18"/>
  <c r="D213" i="18"/>
  <c r="D217" i="18"/>
  <c r="D221" i="18"/>
  <c r="D103" i="18"/>
  <c r="D183" i="18"/>
  <c r="J217" i="18"/>
  <c r="G103" i="18"/>
  <c r="K103" i="18"/>
  <c r="I103" i="18"/>
  <c r="E103" i="18"/>
  <c r="G217" i="18"/>
  <c r="I217" i="18"/>
  <c r="K217" i="18"/>
  <c r="E217" i="18"/>
  <c r="D220" i="22"/>
  <c r="H217" i="18" s="1"/>
  <c r="D106" i="22"/>
  <c r="H103" i="18" s="1"/>
  <c r="F103" i="18"/>
  <c r="J103" i="18"/>
  <c r="F217" i="18"/>
  <c r="D194" i="22"/>
  <c r="D65" i="22" s="1"/>
  <c r="J65" i="22" s="1"/>
  <c r="L65" i="22" s="1"/>
  <c r="D90" i="22"/>
  <c r="H87" i="18" s="1"/>
  <c r="D87" i="22"/>
  <c r="H84" i="18" s="1"/>
  <c r="D247" i="24" l="1"/>
  <c r="J244" i="18" s="1"/>
  <c r="J235" i="18"/>
  <c r="D246" i="24"/>
  <c r="J242" i="18"/>
  <c r="H225" i="18"/>
  <c r="D237" i="22"/>
  <c r="D233" i="22"/>
  <c r="D229" i="22"/>
  <c r="H226" i="18" s="1"/>
  <c r="G110" i="18"/>
  <c r="F110" i="18"/>
  <c r="E110" i="18"/>
  <c r="D110" i="18"/>
  <c r="K110" i="18"/>
  <c r="J110" i="18"/>
  <c r="H191" i="18"/>
  <c r="D67" i="22"/>
  <c r="D229" i="18"/>
  <c r="D241" i="22"/>
  <c r="H238" i="18" s="1"/>
  <c r="D211" i="22"/>
  <c r="H208" i="18" s="1"/>
  <c r="D193" i="22"/>
  <c r="H190" i="18" s="1"/>
  <c r="D196" i="22"/>
  <c r="H193" i="18" s="1"/>
  <c r="D197" i="22"/>
  <c r="H194" i="18" s="1"/>
  <c r="D88" i="22"/>
  <c r="H85" i="18" s="1"/>
  <c r="H49" i="18"/>
  <c r="H230" i="18" l="1"/>
  <c r="D234" i="22"/>
  <c r="H231" i="18" s="1"/>
  <c r="H234" i="18"/>
  <c r="D245" i="22"/>
  <c r="H242" i="18" s="1"/>
  <c r="D244" i="22"/>
  <c r="H241" i="18" s="1"/>
  <c r="D238" i="22"/>
  <c r="K64" i="22"/>
  <c r="D64" i="22"/>
  <c r="J64" i="22" s="1"/>
  <c r="F108" i="18"/>
  <c r="F111" i="18"/>
  <c r="G108" i="18"/>
  <c r="G111" i="18"/>
  <c r="D108" i="18"/>
  <c r="D111" i="18"/>
  <c r="E108" i="18"/>
  <c r="E111" i="18"/>
  <c r="J108" i="18"/>
  <c r="J111" i="18"/>
  <c r="K108" i="18"/>
  <c r="K111" i="18"/>
  <c r="D202" i="22"/>
  <c r="H199" i="18" s="1"/>
  <c r="D112" i="22"/>
  <c r="H63" i="18"/>
  <c r="D166" i="18"/>
  <c r="D228" i="18"/>
  <c r="H235" i="18" l="1"/>
  <c r="D247" i="22"/>
  <c r="H244" i="18" s="1"/>
  <c r="L64" i="22"/>
  <c r="M64" i="22" s="1"/>
  <c r="H109" i="18"/>
  <c r="D113" i="22"/>
  <c r="H110" i="18" l="1"/>
  <c r="D111" i="22"/>
  <c r="H108" i="18" l="1"/>
  <c r="D114" i="22"/>
  <c r="H111" i="18" s="1"/>
  <c r="H25" i="18"/>
  <c r="J25" i="18"/>
  <c r="K25" i="18"/>
  <c r="D25" i="18"/>
  <c r="D23" i="22"/>
  <c r="I26" i="18"/>
  <c r="I25" i="18"/>
  <c r="E25" i="18"/>
  <c r="F25" i="18"/>
  <c r="F21" i="18"/>
  <c r="G25" i="18"/>
  <c r="E26" i="18"/>
  <c r="E21" i="18" l="1"/>
  <c r="E27" i="18"/>
  <c r="D21" i="18"/>
  <c r="D26" i="18"/>
  <c r="K21" i="18"/>
  <c r="K26" i="18"/>
  <c r="K23" i="18"/>
  <c r="K243" i="18"/>
  <c r="K27" i="18"/>
  <c r="J243" i="18"/>
  <c r="J23" i="18"/>
  <c r="J27" i="18"/>
  <c r="D246" i="22"/>
  <c r="H243" i="18" s="1"/>
  <c r="H23" i="18"/>
  <c r="D27" i="22"/>
  <c r="H27" i="18" s="1"/>
  <c r="G27" i="18"/>
  <c r="G23" i="18"/>
  <c r="G243" i="18"/>
  <c r="D243" i="18"/>
  <c r="D27" i="18"/>
  <c r="D23" i="18"/>
  <c r="I21" i="18"/>
  <c r="J21" i="18"/>
  <c r="H21" i="18"/>
  <c r="J26" i="18"/>
  <c r="F26" i="18"/>
  <c r="G21" i="18"/>
  <c r="D26" i="22"/>
  <c r="H26" i="18" s="1"/>
  <c r="G26" i="18"/>
  <c r="E23" i="18" l="1"/>
  <c r="E243" i="18"/>
  <c r="I23" i="18"/>
  <c r="I243" i="18"/>
  <c r="I27" i="18"/>
  <c r="F243" i="18"/>
  <c r="F27" i="18"/>
  <c r="F23" i="18"/>
  <c r="D222" i="22"/>
  <c r="H219" i="18" s="1"/>
  <c r="K221" i="18"/>
  <c r="G219" i="18"/>
  <c r="K219" i="18"/>
  <c r="J219" i="18"/>
  <c r="I219" i="18"/>
  <c r="E219" i="18"/>
  <c r="E62" i="18"/>
  <c r="E65" i="18"/>
  <c r="H65" i="18"/>
  <c r="K65" i="18"/>
  <c r="G62" i="18"/>
  <c r="G65" i="18"/>
  <c r="H62" i="18"/>
  <c r="K62" i="18"/>
  <c r="J65" i="18"/>
  <c r="F62" i="18"/>
  <c r="F65" i="18"/>
  <c r="I62" i="18"/>
  <c r="I65" i="18"/>
  <c r="J62" i="18"/>
  <c r="D224" i="22" l="1"/>
  <c r="D232" i="22" s="1"/>
  <c r="H229" i="18" s="1"/>
  <c r="E229" i="18"/>
  <c r="F221" i="18"/>
  <c r="E221" i="18"/>
  <c r="F219" i="18"/>
  <c r="D231" i="22" l="1"/>
  <c r="D169" i="22" s="1"/>
  <c r="H166" i="18" s="1"/>
  <c r="K229" i="18"/>
  <c r="H221" i="18"/>
  <c r="F229" i="18"/>
  <c r="G221" i="18"/>
  <c r="J221" i="18"/>
  <c r="I221" i="18"/>
  <c r="E228" i="18"/>
  <c r="E166" i="18"/>
  <c r="H228" i="18" l="1"/>
  <c r="K166" i="18"/>
  <c r="K228" i="18"/>
  <c r="G229" i="18"/>
  <c r="J229" i="18"/>
  <c r="I229" i="18"/>
  <c r="F166" i="18"/>
  <c r="F228" i="18"/>
  <c r="J166" i="18" l="1"/>
  <c r="J228" i="18"/>
  <c r="I166" i="18"/>
  <c r="I228" i="18"/>
  <c r="G166" i="18"/>
  <c r="G228" i="18"/>
</calcChain>
</file>

<file path=xl/sharedStrings.xml><?xml version="1.0" encoding="utf-8"?>
<sst xmlns="http://schemas.openxmlformats.org/spreadsheetml/2006/main" count="5202" uniqueCount="397">
  <si>
    <t>C Pemberton-Pigott</t>
  </si>
  <si>
    <t>mm</t>
  </si>
  <si>
    <r>
      <t>cm</t>
    </r>
    <r>
      <rPr>
        <vertAlign val="superscript"/>
        <sz val="11"/>
        <color theme="1"/>
        <rFont val="Calibri"/>
        <family val="2"/>
        <scheme val="minor"/>
      </rPr>
      <t>2</t>
    </r>
  </si>
  <si>
    <t>Litres</t>
  </si>
  <si>
    <t>%</t>
  </si>
  <si>
    <t>Circumference</t>
  </si>
  <si>
    <t>Heat flux</t>
  </si>
  <si>
    <t>Heat gain rate</t>
  </si>
  <si>
    <t>Watts</t>
  </si>
  <si>
    <t>% filled with water</t>
  </si>
  <si>
    <t>Pot load</t>
  </si>
  <si>
    <t>Initial Temperature</t>
  </si>
  <si>
    <t>Final Temperature</t>
  </si>
  <si>
    <r>
      <rPr>
        <sz val="11"/>
        <color theme="1"/>
        <rFont val="Tahoma"/>
        <family val="2"/>
      </rPr>
      <t>°</t>
    </r>
    <r>
      <rPr>
        <sz val="11"/>
        <color theme="1"/>
        <rFont val="Calibri"/>
        <family val="2"/>
      </rPr>
      <t>C</t>
    </r>
  </si>
  <si>
    <t>Delta T</t>
  </si>
  <si>
    <t>Heat gain to boil</t>
  </si>
  <si>
    <t>MJ</t>
  </si>
  <si>
    <t>Time to boil (theory)</t>
  </si>
  <si>
    <t>minutes</t>
  </si>
  <si>
    <t>Evaporation energy</t>
  </si>
  <si>
    <t>Time to boil (model)</t>
  </si>
  <si>
    <t>Combustion efficiency</t>
  </si>
  <si>
    <t>Burn rate (moist fuel)</t>
  </si>
  <si>
    <t>Energy content LHV</t>
  </si>
  <si>
    <t>MJ/kg LHV (0% H2O)</t>
  </si>
  <si>
    <t>MJ/kg as burned</t>
  </si>
  <si>
    <t>Carbon content</t>
  </si>
  <si>
    <t>Emitted Carbon</t>
  </si>
  <si>
    <t>Hydrogen content</t>
  </si>
  <si>
    <t>Species</t>
  </si>
  <si>
    <t>E. Grandis</t>
  </si>
  <si>
    <t>Fuel moisture</t>
  </si>
  <si>
    <t>% WWB</t>
  </si>
  <si>
    <t>Energy content HHV</t>
  </si>
  <si>
    <t>MJ/kg HHV (0% H2O)</t>
  </si>
  <si>
    <r>
      <t>CO</t>
    </r>
    <r>
      <rPr>
        <vertAlign val="subscript"/>
        <sz val="11"/>
        <color theme="1"/>
        <rFont val="Calibri"/>
        <family val="2"/>
        <scheme val="minor"/>
      </rPr>
      <t>2Max</t>
    </r>
  </si>
  <si>
    <t>Excess air target</t>
  </si>
  <si>
    <t>From HTP Fuels!J84</t>
  </si>
  <si>
    <t>From HTP Fuels!D70</t>
  </si>
  <si>
    <t>kg/hr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</si>
  <si>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Air demand/kg</t>
    </r>
  </si>
  <si>
    <t>Emitted gas volume/kg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</si>
  <si>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</si>
  <si>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/hr</t>
    </r>
  </si>
  <si>
    <t>Gas output total</t>
  </si>
  <si>
    <r>
      <rPr>
        <sz val="11"/>
        <color theme="1"/>
        <rFont val="Tahoma"/>
        <family val="2"/>
      </rPr>
      <t>λ</t>
    </r>
    <r>
      <rPr>
        <sz val="11"/>
        <color theme="1"/>
        <rFont val="Calibri"/>
        <family val="2"/>
        <scheme val="minor"/>
      </rPr>
      <t>, total air demand</t>
    </r>
  </si>
  <si>
    <t>Gas output/kg burned</t>
  </si>
  <si>
    <t>Air input/kg burned</t>
  </si>
  <si>
    <t>Air in and gases out</t>
  </si>
  <si>
    <t>Air inflow rate</t>
  </si>
  <si>
    <t>litres/second at STP</t>
  </si>
  <si>
    <t>Hot gas temperature</t>
  </si>
  <si>
    <t>m/sec</t>
  </si>
  <si>
    <r>
      <t>kg/m</t>
    </r>
    <r>
      <rPr>
        <vertAlign val="superscript"/>
        <sz val="11"/>
        <color theme="1"/>
        <rFont val="Calibri"/>
        <family val="2"/>
      </rPr>
      <t>3</t>
    </r>
  </si>
  <si>
    <t>Gas outflow rate/hr</t>
  </si>
  <si>
    <t>Gas outflow volume</t>
  </si>
  <si>
    <t>litres/sec</t>
  </si>
  <si>
    <t>litres/sec (hot)</t>
  </si>
  <si>
    <t>Deg</t>
  </si>
  <si>
    <t>Density</t>
  </si>
  <si>
    <t>At the Pot Lip</t>
  </si>
  <si>
    <t>g/cc</t>
  </si>
  <si>
    <t>Fire</t>
  </si>
  <si>
    <t>exhaust</t>
  </si>
  <si>
    <t>Difference</t>
  </si>
  <si>
    <t>Temp drop</t>
  </si>
  <si>
    <t>Change the % to sides to match reality.</t>
  </si>
  <si>
    <t>Or measure the temp at the corner and adjust the % to match</t>
  </si>
  <si>
    <t>Gas velocity at pot corner</t>
  </si>
  <si>
    <t>Gas velocity up the side</t>
  </si>
  <si>
    <t>Exhaust gas temperature</t>
  </si>
  <si>
    <t>Chimney</t>
  </si>
  <si>
    <t>Gas volume</t>
  </si>
  <si>
    <t>Under 3m/sec is acceptable with little flow resistance from friction.</t>
  </si>
  <si>
    <t>Hot gas outflow rate/hr</t>
  </si>
  <si>
    <t>Hot gas outflow volume</t>
  </si>
  <si>
    <t>Resulting gas density</t>
  </si>
  <si>
    <t>Theoretically required heat to bring the water to a boil.</t>
  </si>
  <si>
    <t>Frequired fire power (net)</t>
  </si>
  <si>
    <t>Perfect combustion minus CO and PM losses.</t>
  </si>
  <si>
    <t>Calculated from the ultimate analysis.</t>
  </si>
  <si>
    <t>This is not compensated for combustion gases' molar mass (they are similar).</t>
  </si>
  <si>
    <t>Zone 1</t>
  </si>
  <si>
    <t>Zone 2</t>
  </si>
  <si>
    <t>Zone 3</t>
  </si>
  <si>
    <r>
      <t>Watts/cm</t>
    </r>
    <r>
      <rPr>
        <vertAlign val="superscript"/>
        <sz val="11"/>
        <color theme="1"/>
        <rFont val="Calibri"/>
        <family val="2"/>
        <scheme val="minor"/>
      </rPr>
      <t>2</t>
    </r>
  </si>
  <si>
    <t>Firepower actual</t>
  </si>
  <si>
    <t>This is to account for heat losses as the water approaches boiling.</t>
  </si>
  <si>
    <t>Required theoretical fire power, imperfect combustion.</t>
  </si>
  <si>
    <t>Pot volume</t>
  </si>
  <si>
    <r>
      <t>mm</t>
    </r>
    <r>
      <rPr>
        <vertAlign val="superscript"/>
        <sz val="11"/>
        <color theme="1"/>
        <rFont val="Calibri"/>
        <family val="2"/>
        <scheme val="minor"/>
      </rPr>
      <t>2</t>
    </r>
  </si>
  <si>
    <t>Side of the pot, sheet length needed</t>
  </si>
  <si>
    <t>The figure above can be determined using the water temperature heat gain rate.</t>
  </si>
  <si>
    <t>Use the local boiling point</t>
  </si>
  <si>
    <t>This is a little high for a hardwood.</t>
  </si>
  <si>
    <t>Estimated due to lack of local capacity to measure.</t>
  </si>
  <si>
    <t>Per kg of fuel burned As Received, not AD or DAF or something else.</t>
  </si>
  <si>
    <r>
      <t>kg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/raw kg burned</t>
    </r>
  </si>
  <si>
    <t>Pot corner gas temperature</t>
  </si>
  <si>
    <t>Gap under pot</t>
  </si>
  <si>
    <t>https://www.engineeringtoolbox.com/air-density-specific-weight-d_600.html?vA=1000&amp;units=C#</t>
  </si>
  <si>
    <t>Pot bottom corner</t>
  </si>
  <si>
    <t xml:space="preserve">Heat absorbed </t>
  </si>
  <si>
    <t>At full power</t>
  </si>
  <si>
    <t xml:space="preserve"> </t>
  </si>
  <si>
    <t>Pot side wall thickness</t>
  </si>
  <si>
    <t>Pot bottom thickness</t>
  </si>
  <si>
    <t>Pot body outside diameter</t>
  </si>
  <si>
    <t>Pot body inside diameter</t>
  </si>
  <si>
    <t>Fuel feed hole width</t>
  </si>
  <si>
    <t>Upper chamber Width</t>
  </si>
  <si>
    <t>Thermal efficiency (on high)</t>
  </si>
  <si>
    <t xml:space="preserve">High power heat output </t>
  </si>
  <si>
    <t>Theoretical</t>
  </si>
  <si>
    <t>Fire power</t>
  </si>
  <si>
    <t>Cooking power</t>
  </si>
  <si>
    <t>Fuel consumption</t>
  </si>
  <si>
    <t>Air demand</t>
  </si>
  <si>
    <t>Gas flow</t>
  </si>
  <si>
    <t>Upper body</t>
  </si>
  <si>
    <t>Upper body cavity depth</t>
  </si>
  <si>
    <r>
      <rPr>
        <sz val="11"/>
        <color theme="1"/>
        <rFont val="Tahoma"/>
        <family val="2"/>
      </rPr>
      <t>°</t>
    </r>
    <r>
      <rPr>
        <sz val="11"/>
        <color theme="1"/>
        <rFont val="Calibri"/>
        <family val="2"/>
      </rPr>
      <t>C at high power</t>
    </r>
  </si>
  <si>
    <t>by the pot side, balance to the bottom</t>
  </si>
  <si>
    <t>Heat Flow rate across area</t>
  </si>
  <si>
    <t>Effective diameter</t>
  </si>
  <si>
    <t>Overall width</t>
  </si>
  <si>
    <t>Overall length</t>
  </si>
  <si>
    <t>Exhaust gases</t>
  </si>
  <si>
    <t>Details below</t>
  </si>
  <si>
    <t>Fuel feed hole height</t>
  </si>
  <si>
    <t>Dimension Code</t>
  </si>
  <si>
    <t>D1</t>
  </si>
  <si>
    <t>H1</t>
  </si>
  <si>
    <t>OD1</t>
  </si>
  <si>
    <t>T1</t>
  </si>
  <si>
    <t>T2</t>
  </si>
  <si>
    <t>W1</t>
  </si>
  <si>
    <t>W2</t>
  </si>
  <si>
    <t>T4</t>
  </si>
  <si>
    <t>T3</t>
  </si>
  <si>
    <t>W3</t>
  </si>
  <si>
    <t>W4</t>
  </si>
  <si>
    <t>W5</t>
  </si>
  <si>
    <t>W6</t>
  </si>
  <si>
    <t>W10</t>
  </si>
  <si>
    <t>W11</t>
  </si>
  <si>
    <t>T5</t>
  </si>
  <si>
    <t>D2</t>
  </si>
  <si>
    <t>OD2</t>
  </si>
  <si>
    <t>D7</t>
  </si>
  <si>
    <t>D8</t>
  </si>
  <si>
    <t>H2</t>
  </si>
  <si>
    <t>H3</t>
  </si>
  <si>
    <t>H4</t>
  </si>
  <si>
    <t>H6</t>
  </si>
  <si>
    <t>H7</t>
  </si>
  <si>
    <t>H8</t>
  </si>
  <si>
    <t>H9</t>
  </si>
  <si>
    <t>H10</t>
  </si>
  <si>
    <t>H11</t>
  </si>
  <si>
    <t>L1</t>
  </si>
  <si>
    <t>L2</t>
  </si>
  <si>
    <t>A1</t>
  </si>
  <si>
    <t>A2</t>
  </si>
  <si>
    <t>H12</t>
  </si>
  <si>
    <t>D3</t>
  </si>
  <si>
    <t>N4</t>
  </si>
  <si>
    <t>L13</t>
  </si>
  <si>
    <t>L14</t>
  </si>
  <si>
    <t>L15</t>
  </si>
  <si>
    <t>V1</t>
  </si>
  <si>
    <t>W12</t>
  </si>
  <si>
    <t>W13</t>
  </si>
  <si>
    <t>Upper body length</t>
  </si>
  <si>
    <t>Upper body width</t>
  </si>
  <si>
    <t>Upper body height</t>
  </si>
  <si>
    <t>H13</t>
  </si>
  <si>
    <t>Lower body</t>
  </si>
  <si>
    <t>Lower body incl ash channel</t>
  </si>
  <si>
    <t>H14</t>
  </si>
  <si>
    <t>H15</t>
  </si>
  <si>
    <t>Usually the same as H13</t>
  </si>
  <si>
    <t>Length and width the same as the upper chamber</t>
  </si>
  <si>
    <t>Pot overall height</t>
  </si>
  <si>
    <t>H1.1</t>
  </si>
  <si>
    <t>D9</t>
  </si>
  <si>
    <t>Length of ash channel</t>
  </si>
  <si>
    <t>Back of grate to ash door</t>
  </si>
  <si>
    <t>Length to supports for grates</t>
  </si>
  <si>
    <t>CC L16</t>
  </si>
  <si>
    <t>CC L17</t>
  </si>
  <si>
    <t>CC L18</t>
  </si>
  <si>
    <t>CC L19</t>
  </si>
  <si>
    <t>Back wall each side of ash door</t>
  </si>
  <si>
    <t>CC W14</t>
  </si>
  <si>
    <t>Construction Drawings - Layer 1</t>
  </si>
  <si>
    <t>EE L20</t>
  </si>
  <si>
    <t>EE W15</t>
  </si>
  <si>
    <t>EE H17</t>
  </si>
  <si>
    <t>Construction Drawings - Layer 2</t>
  </si>
  <si>
    <t>Construction Drawings - Layer 3</t>
  </si>
  <si>
    <t>GG H21</t>
  </si>
  <si>
    <t>GG H22</t>
  </si>
  <si>
    <t>GG H23</t>
  </si>
  <si>
    <t>Construction Drawings - Layer 4</t>
  </si>
  <si>
    <t>Construction Drawings - Layer 5</t>
  </si>
  <si>
    <t>Chimney outside diameter</t>
  </si>
  <si>
    <t>Chimney inside diameter</t>
  </si>
  <si>
    <t>D10</t>
  </si>
  <si>
    <t>Chimney wall thickness</t>
  </si>
  <si>
    <t>T</t>
  </si>
  <si>
    <t>OD3</t>
  </si>
  <si>
    <t>Pot</t>
  </si>
  <si>
    <t>Upper body minimum wall thickness</t>
  </si>
  <si>
    <t>BW1</t>
  </si>
  <si>
    <t>BT1</t>
  </si>
  <si>
    <t>W3.1</t>
  </si>
  <si>
    <t>DESIGN TOOL WITH DIMENSIONS</t>
  </si>
  <si>
    <t>Dimensions</t>
  </si>
  <si>
    <t>Edit only blue cells</t>
  </si>
  <si>
    <t>Count</t>
  </si>
  <si>
    <t>Table of Dimensions for Ugandan MEMD Stove 50 to 1000 litres</t>
  </si>
  <si>
    <t>Outside diameter of pot collar</t>
  </si>
  <si>
    <t>√</t>
  </si>
  <si>
    <t>Collar gripping the pot, width</t>
  </si>
  <si>
    <t>Steel support ring thickness</t>
  </si>
  <si>
    <t>Support steel ring O.D.</t>
  </si>
  <si>
    <t>Support ring height</t>
  </si>
  <si>
    <t>Pot clearance each side of steel ring</t>
  </si>
  <si>
    <t>Exposed pot height above body</t>
  </si>
  <si>
    <t>Steel support ring I.D.</t>
  </si>
  <si>
    <t>Steel support ring for the pot</t>
  </si>
  <si>
    <t>Steel support ring cut length</t>
  </si>
  <si>
    <t>Pot to body gap each side</t>
  </si>
  <si>
    <t>Pot O.D.</t>
  </si>
  <si>
    <t>Upper body cavity inside diameter</t>
  </si>
  <si>
    <t xml:space="preserve">Change this to alter the upper body depth of pot insertion. </t>
  </si>
  <si>
    <t>H5, H15?</t>
  </si>
  <si>
    <t>Air tunnnel width</t>
  </si>
  <si>
    <t>Do not adjust without field data.</t>
  </si>
  <si>
    <t>Fuel shelf brick thickness</t>
  </si>
  <si>
    <t>Primary air through the fuel shelf</t>
  </si>
  <si>
    <t>This is less than is usually though - see the HTP calculation of a chemical balance method.</t>
  </si>
  <si>
    <t>Gap each side, Pot to body</t>
  </si>
  <si>
    <t>Chimney entrance hole width</t>
  </si>
  <si>
    <t>Chimney entrance hole height</t>
  </si>
  <si>
    <t>From literature, especially Brazil. Measured values are considered unreliable.</t>
  </si>
  <si>
    <t>Pot bottom area heated</t>
  </si>
  <si>
    <t>Based on the pot O.D.</t>
  </si>
  <si>
    <t>Effective heated area, side + bottom</t>
  </si>
  <si>
    <r>
      <t>Usually 2-3 W/cm</t>
    </r>
    <r>
      <rPr>
        <vertAlign val="superscript"/>
        <sz val="11"/>
        <color theme="1"/>
        <rFont val="Calibri"/>
        <family val="2"/>
        <scheme val="minor"/>
      </rPr>
      <t>2</t>
    </r>
  </si>
  <si>
    <t>The area of pot cylinder considered receiving heat at the same rate as the bottom.</t>
  </si>
  <si>
    <t>Upper combustion chamber height</t>
  </si>
  <si>
    <t>Upper combustion chamber length</t>
  </si>
  <si>
    <t>Lower combustion chamber height</t>
  </si>
  <si>
    <t>Primary air under the fuel shelf</t>
  </si>
  <si>
    <t>Air tunnel height</t>
  </si>
  <si>
    <t>Width of a "select" brick</t>
  </si>
  <si>
    <t>Building Units</t>
  </si>
  <si>
    <t>Width of a "curved" brick</t>
  </si>
  <si>
    <t>Thickness of a "curved" brick</t>
  </si>
  <si>
    <t>Length of a "curved" brick</t>
  </si>
  <si>
    <t>Width of a stock brick</t>
  </si>
  <si>
    <t>Length of a stock brick</t>
  </si>
  <si>
    <t>Thickness of a stock brick</t>
  </si>
  <si>
    <t>Air passage under the fire floor, H</t>
  </si>
  <si>
    <t>Lower body floor to pot deck</t>
  </si>
  <si>
    <t>Width of fuel shelf channel brick</t>
  </si>
  <si>
    <t>Thickness of fuel shelf channel brick</t>
  </si>
  <si>
    <t>Length of fuel shelf channel brick</t>
  </si>
  <si>
    <t>Width of a refractory brick</t>
  </si>
  <si>
    <t>Thickness of a refractory brick</t>
  </si>
  <si>
    <t>Length of a refractory brick</t>
  </si>
  <si>
    <t>Fuel shelf brick length (U-channel)</t>
  </si>
  <si>
    <r>
      <t>Area per gap, mm</t>
    </r>
    <r>
      <rPr>
        <vertAlign val="superscript"/>
        <sz val="11"/>
        <color theme="1"/>
        <rFont val="Calibri"/>
        <family val="2"/>
        <scheme val="minor"/>
      </rPr>
      <t>2</t>
    </r>
  </si>
  <si>
    <t>Gas velocity in chimney at high power</t>
  </si>
  <si>
    <t>% of side heated @ full power</t>
  </si>
  <si>
    <r>
      <t>Watts cm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/K</t>
    </r>
  </si>
  <si>
    <t>% (from data)</t>
  </si>
  <si>
    <t>Back of ash channel to rear of stove</t>
  </si>
  <si>
    <t>N/A</t>
  </si>
  <si>
    <t>Height of Layer 1 surface</t>
  </si>
  <si>
    <t>Mortar thickness between bricks</t>
  </si>
  <si>
    <t>mm, usually</t>
  </si>
  <si>
    <t>Height of Layer 2 surface</t>
  </si>
  <si>
    <t>Height of Layer 3 surface</t>
  </si>
  <si>
    <t>Air tunnel length</t>
  </si>
  <si>
    <t>?</t>
  </si>
  <si>
    <t>Not D7?</t>
  </si>
  <si>
    <t>Locate and add formula for this density value</t>
  </si>
  <si>
    <t>Including Section A-A</t>
  </si>
  <si>
    <t>Overall Width</t>
  </si>
  <si>
    <t>Front to back distance (Length)</t>
  </si>
  <si>
    <t>Width of the Air tunnel</t>
  </si>
  <si>
    <t>Width to accommodate the fire bricks</t>
  </si>
  <si>
    <t>Height of fuel shelf</t>
  </si>
  <si>
    <t>Front wall to back of the U-channels</t>
  </si>
  <si>
    <t>Number of gaps between U-channels</t>
  </si>
  <si>
    <r>
      <t>Area of all air gaps, mm</t>
    </r>
    <r>
      <rPr>
        <vertAlign val="superscript"/>
        <sz val="11"/>
        <color theme="1"/>
        <rFont val="Calibri"/>
        <family val="2"/>
        <scheme val="minor"/>
      </rPr>
      <t>2</t>
    </r>
  </si>
  <si>
    <t>Width to accommodate U-channels</t>
  </si>
  <si>
    <t>Arch width</t>
  </si>
  <si>
    <t>Arch depth</t>
  </si>
  <si>
    <t>Fuel chamber length</t>
  </si>
  <si>
    <t>correct</t>
  </si>
  <si>
    <t>Height of Layer 4 surface</t>
  </si>
  <si>
    <t>Construction Drawings - Layer 6</t>
  </si>
  <si>
    <t>Fuel chamber width</t>
  </si>
  <si>
    <t>Height of Layer 5 surface</t>
  </si>
  <si>
    <t>Height of lower combustion chamber</t>
  </si>
  <si>
    <t>Upper Combustion zone</t>
  </si>
  <si>
    <t>Tunnel length to upper combustion zone</t>
  </si>
  <si>
    <t>Heat Exchanger</t>
  </si>
  <si>
    <t>Upper combustion zone exit width</t>
  </si>
  <si>
    <t>Upper combustion zone exit length</t>
  </si>
  <si>
    <t>Gap under pot centre</t>
  </si>
  <si>
    <t xml:space="preserve">Fuel tunnel </t>
  </si>
  <si>
    <t>Fuel tunnel floor length to the far end</t>
  </si>
  <si>
    <t>Fuel tunnel roof length to the opening</t>
  </si>
  <si>
    <t>Upper combustion chamber width</t>
  </si>
  <si>
    <t>Tunnel height to U-channels</t>
  </si>
  <si>
    <t>Height of Layer 6 surface</t>
  </si>
  <si>
    <t>Height to the base of the Heat Exchanger</t>
  </si>
  <si>
    <t>Upper combustion zone height</t>
  </si>
  <si>
    <t>Tunnel top to expansion chamber bottom</t>
  </si>
  <si>
    <t>Construction Drawings - Layer 7</t>
  </si>
  <si>
    <t>Height of Layer 7 surface</t>
  </si>
  <si>
    <t>Height to the surface of the curved bricks</t>
  </si>
  <si>
    <t>Inside diameter of the curved bricks</t>
  </si>
  <si>
    <t>Outside diameter of the curved bricks</t>
  </si>
  <si>
    <t>Thickness of a "select" brick</t>
  </si>
  <si>
    <t>Length of a "select" brick</t>
  </si>
  <si>
    <t>Width inside the outer wall</t>
  </si>
  <si>
    <t>Full width of the opening at the top</t>
  </si>
  <si>
    <t>Construction Drawings - Layers 8-12</t>
  </si>
  <si>
    <t>Height of Layer 12 surface</t>
  </si>
  <si>
    <t>Minimum thickness of the radial supports</t>
  </si>
  <si>
    <t>Number of U-channels forming the roof</t>
  </si>
  <si>
    <t>Gap between the U-channels</t>
  </si>
  <si>
    <t>Cavity for fuel shelf U-channels, width</t>
  </si>
  <si>
    <t>=D178/3600/('MEMD 200'!D68/1000*'MEMD 200'!D69/1000*'MEMD 200'!D67)</t>
  </si>
  <si>
    <t>Hot gas velocity in upper chamber</t>
  </si>
  <si>
    <t>Gas velocity at full width under pot</t>
  </si>
  <si>
    <t>At the chimney entrance</t>
  </si>
  <si>
    <t>Gas velocity at edge of rectangular exit</t>
  </si>
  <si>
    <t>Arch entrance is closed over the top</t>
  </si>
  <si>
    <t>Height of the steel frame around the top</t>
  </si>
  <si>
    <t>Height of the top of the steel ring</t>
  </si>
  <si>
    <t>Height of the surface of the curved bricks</t>
  </si>
  <si>
    <t>Pot inside height and ratio of 0.7:1.0</t>
  </si>
  <si>
    <t>Nominal Pot Capacity in Litres   &gt;&gt;</t>
  </si>
  <si>
    <t>Radial support length</t>
  </si>
  <si>
    <t>Distance from right (or left) corner</t>
  </si>
  <si>
    <t>Distance from back wall</t>
  </si>
  <si>
    <t>Gap under pot outer edge (not to be less)</t>
  </si>
  <si>
    <t>Heat exchanger body inside diameter</t>
  </si>
  <si>
    <t>Heat exchanger body inside depth</t>
  </si>
  <si>
    <t>Upper chamber exit</t>
  </si>
  <si>
    <t>Minimum vertical gap under the pot OD</t>
  </si>
  <si>
    <t>Number of U-channels forming the floor</t>
  </si>
  <si>
    <t>Excess</t>
  </si>
  <si>
    <t>U-channel width inside brickwork</t>
  </si>
  <si>
    <t>Channels</t>
  </si>
  <si>
    <t>Balance</t>
  </si>
  <si>
    <t>Length</t>
  </si>
  <si>
    <t>Spare or interference?</t>
  </si>
  <si>
    <t>Disregard for now</t>
  </si>
  <si>
    <t>dimensions</t>
  </si>
  <si>
    <t>Stove Body Outside</t>
  </si>
  <si>
    <t xml:space="preserve">  </t>
  </si>
  <si>
    <t>Upper chamber Width at top exit</t>
  </si>
  <si>
    <t>Version 1.4</t>
  </si>
  <si>
    <t>mm (or 1 brick)</t>
  </si>
  <si>
    <t>Overall height including steel frame</t>
  </si>
  <si>
    <t>Thickness of angle iron on the top edge</t>
  </si>
  <si>
    <t>Balance mm</t>
  </si>
  <si>
    <t>Edit the constant to match the total height in D50 to the drawing</t>
  </si>
  <si>
    <t>Overall width of the brickwork</t>
  </si>
  <si>
    <t>Overall length of the brickwork</t>
  </si>
  <si>
    <t>Construction Drawings - Layers 8-11</t>
  </si>
  <si>
    <t>Height of Layer 11 surface</t>
  </si>
  <si>
    <t>Construction Drawings - Layers 8-10</t>
  </si>
  <si>
    <t>Height of Layer 10 surface</t>
  </si>
  <si>
    <t>Optional.  Not all have an expanded opening</t>
  </si>
  <si>
    <t>Correct</t>
  </si>
  <si>
    <t>Adjusted up from 153</t>
  </si>
  <si>
    <t>Air passage under the fire floor, H (est)</t>
  </si>
  <si>
    <t>Exposed pot height above body, (Est)</t>
  </si>
  <si>
    <t>Approx, edit to suit brick thickness</t>
  </si>
  <si>
    <t>Number of Grate Bricks forming the floor</t>
  </si>
  <si>
    <t>Width of fuel shelf grate brick</t>
  </si>
  <si>
    <t>Thickness of fuel shelf grate brick</t>
  </si>
  <si>
    <t>Length of fuel shelf grate brick</t>
  </si>
  <si>
    <t>grate width inside brickwork</t>
  </si>
  <si>
    <t>Grate bricks</t>
  </si>
  <si>
    <t>Heat gain to boil (MJ)</t>
  </si>
  <si>
    <t>Burn rate (moist fuel) kg/hr</t>
  </si>
  <si>
    <t>Excess air target [%]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</si>
</sst>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_-* #,##0.000_-;\-* #,##0.000_-;_-* &quot;-&quot;??_-;_-@_-"/>
    <numFmt numFmtId="167" formatCode="_-* #,##0.0000_-;\-* #,##0.0000_-;_-* &quot;-&quot;??_-;_-@_-"/>
    <numFmt numFmtId="168" formatCode="0.0000"/>
    <numFmt numFmtId="169" formatCode="0.0%"/>
    <numFmt numFmtId="170" formatCode="_-* #,##0_-;\-* #,##0_-;_-* &quot;-&quot;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43" fontId="0" fillId="0" borderId="0" xfId="1" applyFont="1"/>
    <xf numFmtId="164" fontId="0" fillId="0" borderId="0" xfId="1" applyNumberFormat="1" applyFont="1"/>
    <xf numFmtId="165" fontId="0" fillId="0" borderId="0" xfId="1" applyNumberFormat="1" applyFont="1"/>
    <xf numFmtId="0" fontId="5" fillId="0" borderId="0" xfId="0" applyFont="1"/>
    <xf numFmtId="0" fontId="0" fillId="0" borderId="1" xfId="0" applyBorder="1"/>
    <xf numFmtId="165" fontId="0" fillId="2" borderId="2" xfId="1" applyNumberFormat="1" applyFont="1" applyFill="1" applyBorder="1" applyProtection="1">
      <protection locked="0"/>
    </xf>
    <xf numFmtId="0" fontId="0" fillId="0" borderId="3" xfId="0" applyBorder="1"/>
    <xf numFmtId="0" fontId="0" fillId="0" borderId="4" xfId="0" applyBorder="1"/>
    <xf numFmtId="165" fontId="0" fillId="0" borderId="0" xfId="1" applyNumberFormat="1" applyFont="1" applyBorder="1"/>
    <xf numFmtId="0" fontId="0" fillId="0" borderId="5" xfId="0" applyBorder="1"/>
    <xf numFmtId="165" fontId="0" fillId="2" borderId="0" xfId="1" applyNumberFormat="1" applyFont="1" applyFill="1" applyBorder="1" applyProtection="1">
      <protection locked="0"/>
    </xf>
    <xf numFmtId="0" fontId="0" fillId="0" borderId="6" xfId="0" applyBorder="1"/>
    <xf numFmtId="165" fontId="0" fillId="0" borderId="7" xfId="1" applyNumberFormat="1" applyFont="1" applyBorder="1"/>
    <xf numFmtId="0" fontId="0" fillId="0" borderId="8" xfId="0" applyBorder="1"/>
    <xf numFmtId="165" fontId="0" fillId="0" borderId="2" xfId="1" applyNumberFormat="1" applyFont="1" applyBorder="1"/>
    <xf numFmtId="43" fontId="0" fillId="2" borderId="0" xfId="1" applyFont="1" applyFill="1" applyBorder="1" applyProtection="1">
      <protection locked="0"/>
    </xf>
    <xf numFmtId="164" fontId="0" fillId="2" borderId="0" xfId="1" applyNumberFormat="1" applyFont="1" applyFill="1" applyBorder="1" applyProtection="1">
      <protection locked="0"/>
    </xf>
    <xf numFmtId="43" fontId="0" fillId="0" borderId="0" xfId="1" applyFont="1" applyBorder="1"/>
    <xf numFmtId="43" fontId="0" fillId="0" borderId="7" xfId="1" applyFont="1" applyBorder="1"/>
    <xf numFmtId="164" fontId="0" fillId="0" borderId="0" xfId="1" applyNumberFormat="1" applyFont="1" applyBorder="1"/>
    <xf numFmtId="164" fontId="0" fillId="0" borderId="7" xfId="1" applyNumberFormat="1" applyFont="1" applyBorder="1"/>
    <xf numFmtId="43" fontId="0" fillId="0" borderId="2" xfId="1" applyFont="1" applyBorder="1"/>
    <xf numFmtId="167" fontId="0" fillId="2" borderId="0" xfId="1" applyNumberFormat="1" applyFont="1" applyFill="1" applyBorder="1" applyProtection="1">
      <protection locked="0"/>
    </xf>
    <xf numFmtId="0" fontId="0" fillId="0" borderId="9" xfId="0" applyBorder="1"/>
    <xf numFmtId="43" fontId="0" fillId="0" borderId="0" xfId="0" applyNumberFormat="1"/>
    <xf numFmtId="43" fontId="0" fillId="0" borderId="7" xfId="0" applyNumberFormat="1" applyBorder="1"/>
    <xf numFmtId="0" fontId="0" fillId="0" borderId="0" xfId="0" applyAlignment="1">
      <alignment horizontal="right"/>
    </xf>
    <xf numFmtId="0" fontId="8" fillId="0" borderId="0" xfId="0" applyFont="1"/>
    <xf numFmtId="0" fontId="5" fillId="0" borderId="5" xfId="0" applyFont="1" applyBorder="1"/>
    <xf numFmtId="0" fontId="5" fillId="0" borderId="8" xfId="0" applyFont="1" applyBorder="1"/>
    <xf numFmtId="165" fontId="0" fillId="0" borderId="4" xfId="1" applyNumberFormat="1" applyFont="1" applyBorder="1"/>
    <xf numFmtId="43" fontId="0" fillId="0" borderId="8" xfId="0" applyNumberFormat="1" applyBorder="1"/>
    <xf numFmtId="165" fontId="0" fillId="0" borderId="6" xfId="1" applyNumberFormat="1" applyFont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8" fontId="0" fillId="0" borderId="9" xfId="0" applyNumberFormat="1" applyBorder="1"/>
    <xf numFmtId="165" fontId="0" fillId="0" borderId="10" xfId="1" applyNumberFormat="1" applyFont="1" applyBorder="1"/>
    <xf numFmtId="165" fontId="0" fillId="0" borderId="0" xfId="0" applyNumberFormat="1"/>
    <xf numFmtId="164" fontId="0" fillId="0" borderId="2" xfId="1" applyNumberFormat="1" applyFont="1" applyBorder="1"/>
    <xf numFmtId="165" fontId="0" fillId="0" borderId="7" xfId="0" applyNumberFormat="1" applyBorder="1"/>
    <xf numFmtId="170" fontId="0" fillId="0" borderId="7" xfId="0" applyNumberFormat="1" applyBorder="1"/>
    <xf numFmtId="170" fontId="0" fillId="0" borderId="0" xfId="0" applyNumberFormat="1"/>
    <xf numFmtId="0" fontId="5" fillId="0" borderId="3" xfId="0" applyFont="1" applyBorder="1"/>
    <xf numFmtId="165" fontId="0" fillId="0" borderId="2" xfId="0" applyNumberFormat="1" applyBorder="1"/>
    <xf numFmtId="165" fontId="8" fillId="0" borderId="7" xfId="1" applyNumberFormat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13" xfId="0" applyBorder="1"/>
    <xf numFmtId="165" fontId="0" fillId="0" borderId="12" xfId="1" applyNumberFormat="1" applyFont="1" applyBorder="1"/>
    <xf numFmtId="165" fontId="0" fillId="0" borderId="13" xfId="1" applyNumberFormat="1" applyFont="1" applyBorder="1"/>
    <xf numFmtId="164" fontId="0" fillId="0" borderId="13" xfId="1" applyNumberFormat="1" applyFont="1" applyBorder="1"/>
    <xf numFmtId="0" fontId="0" fillId="0" borderId="12" xfId="0" applyBorder="1"/>
    <xf numFmtId="0" fontId="9" fillId="0" borderId="0" xfId="0" applyFont="1"/>
    <xf numFmtId="165" fontId="0" fillId="0" borderId="11" xfId="1" applyNumberFormat="1" applyFont="1" applyBorder="1"/>
    <xf numFmtId="14" fontId="0" fillId="0" borderId="0" xfId="0" applyNumberFormat="1"/>
    <xf numFmtId="170" fontId="0" fillId="0" borderId="2" xfId="0" applyNumberFormat="1" applyBorder="1"/>
    <xf numFmtId="165" fontId="0" fillId="0" borderId="0" xfId="1" applyNumberFormat="1" applyFont="1" applyFill="1" applyBorder="1" applyProtection="1">
      <protection locked="0"/>
    </xf>
    <xf numFmtId="0" fontId="0" fillId="0" borderId="11" xfId="0" applyBorder="1"/>
    <xf numFmtId="164" fontId="0" fillId="0" borderId="7" xfId="0" applyNumberFormat="1" applyBorder="1"/>
    <xf numFmtId="0" fontId="0" fillId="0" borderId="2" xfId="0" applyBorder="1"/>
    <xf numFmtId="0" fontId="0" fillId="0" borderId="7" xfId="0" applyBorder="1"/>
    <xf numFmtId="0" fontId="8" fillId="0" borderId="4" xfId="0" applyFont="1" applyBorder="1"/>
    <xf numFmtId="164" fontId="0" fillId="0" borderId="0" xfId="0" applyNumberFormat="1"/>
    <xf numFmtId="0" fontId="10" fillId="0" borderId="0" xfId="0" applyFont="1"/>
    <xf numFmtId="165" fontId="0" fillId="2" borderId="0" xfId="1" applyNumberFormat="1" applyFont="1" applyFill="1" applyBorder="1" applyAlignment="1" applyProtection="1">
      <alignment horizontal="center"/>
      <protection locked="0"/>
    </xf>
    <xf numFmtId="169" fontId="0" fillId="2" borderId="0" xfId="2" applyNumberFormat="1" applyFont="1" applyFill="1" applyBorder="1" applyAlignment="1" applyProtection="1">
      <alignment horizontal="center"/>
      <protection locked="0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 applyProtection="1">
      <protection locked="0"/>
    </xf>
    <xf numFmtId="0" fontId="8" fillId="0" borderId="1" xfId="0" applyFont="1" applyBorder="1"/>
    <xf numFmtId="0" fontId="4" fillId="0" borderId="0" xfId="0" applyFont="1"/>
    <xf numFmtId="0" fontId="0" fillId="3" borderId="0" xfId="0" applyFill="1"/>
    <xf numFmtId="0" fontId="0" fillId="3" borderId="0" xfId="0" applyFill="1" applyAlignment="1">
      <alignment horizontal="center"/>
    </xf>
    <xf numFmtId="165" fontId="0" fillId="0" borderId="0" xfId="1" applyNumberFormat="1" applyFont="1" applyFill="1" applyBorder="1"/>
    <xf numFmtId="166" fontId="0" fillId="0" borderId="0" xfId="0" applyNumberFormat="1"/>
    <xf numFmtId="0" fontId="0" fillId="4" borderId="0" xfId="0" applyFill="1"/>
    <xf numFmtId="165" fontId="0" fillId="2" borderId="7" xfId="1" applyNumberFormat="1" applyFont="1" applyFill="1" applyBorder="1" applyProtection="1">
      <protection locked="0"/>
    </xf>
    <xf numFmtId="0" fontId="4" fillId="3" borderId="0" xfId="0" applyFont="1" applyFill="1"/>
    <xf numFmtId="165" fontId="0" fillId="0" borderId="0" xfId="1" applyNumberFormat="1" applyFont="1" applyBorder="1" applyAlignment="1">
      <alignment horizontal="center"/>
    </xf>
    <xf numFmtId="0" fontId="0" fillId="0" borderId="0" xfId="0" quotePrefix="1"/>
    <xf numFmtId="169" fontId="0" fillId="0" borderId="0" xfId="2" applyNumberFormat="1" applyFont="1"/>
    <xf numFmtId="164" fontId="0" fillId="0" borderId="4" xfId="1" applyNumberFormat="1" applyFont="1" applyBorder="1"/>
    <xf numFmtId="165" fontId="8" fillId="0" borderId="0" xfId="1" applyNumberFormat="1" applyFont="1" applyBorder="1" applyAlignment="1">
      <alignment horizontal="center"/>
    </xf>
    <xf numFmtId="165" fontId="0" fillId="0" borderId="12" xfId="1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166" fontId="0" fillId="0" borderId="4" xfId="1" applyNumberFormat="1" applyFont="1" applyBorder="1"/>
    <xf numFmtId="166" fontId="0" fillId="0" borderId="13" xfId="1" applyNumberFormat="1" applyFont="1" applyBorder="1"/>
    <xf numFmtId="167" fontId="0" fillId="0" borderId="4" xfId="1" applyNumberFormat="1" applyFont="1" applyBorder="1"/>
    <xf numFmtId="167" fontId="0" fillId="0" borderId="13" xfId="1" applyNumberFormat="1" applyFont="1" applyBorder="1"/>
    <xf numFmtId="165" fontId="11" fillId="0" borderId="0" xfId="1" applyNumberFormat="1" applyFont="1" applyBorder="1"/>
    <xf numFmtId="43" fontId="0" fillId="0" borderId="4" xfId="1" applyFont="1" applyBorder="1"/>
    <xf numFmtId="43" fontId="0" fillId="0" borderId="13" xfId="1" applyFont="1" applyBorder="1"/>
  </cellXfs>
  <cellStyles count="3">
    <cellStyle name="Comma" xfId="1" builtinId="3"/>
    <cellStyle name="Normal" xfId="0" builtinId="0"/>
    <cellStyle name="Percent" xfId="2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B976A-034C-426B-9F49-1E5BABE090D7}">
  <sheetPr>
    <pageSetUpPr fitToPage="1"/>
  </sheetPr>
  <dimension ref="B2:M244"/>
  <sheetViews>
    <sheetView showGridLines="0" tabSelected="1" zoomScale="115" zoomScaleNormal="115" workbookViewId="0">
      <selection activeCell="J3" sqref="J3"/>
    </sheetView>
  </sheetViews>
  <sheetFormatPr defaultRowHeight="15" x14ac:dyDescent="0.25"/>
  <cols>
    <col min="1" max="1" width="4.5703125" customWidth="1"/>
    <col min="2" max="2" width="36.85546875" customWidth="1"/>
    <col min="3" max="3" width="16.85546875" style="79" customWidth="1"/>
    <col min="4" max="7" width="10" customWidth="1"/>
    <col min="8" max="8" width="11.42578125" customWidth="1"/>
    <col min="9" max="11" width="10" customWidth="1"/>
  </cols>
  <sheetData>
    <row r="2" spans="2:11" ht="18.75" x14ac:dyDescent="0.3">
      <c r="B2" s="1" t="s">
        <v>221</v>
      </c>
      <c r="F2" t="s">
        <v>370</v>
      </c>
    </row>
    <row r="3" spans="2:11" ht="18.75" x14ac:dyDescent="0.3">
      <c r="B3" s="1"/>
      <c r="F3" t="s">
        <v>0</v>
      </c>
      <c r="H3" s="55">
        <v>45683</v>
      </c>
      <c r="I3" s="28" t="s">
        <v>220</v>
      </c>
      <c r="J3" s="35">
        <f>COUNTA(D8:D244)</f>
        <v>185</v>
      </c>
      <c r="K3" t="s">
        <v>366</v>
      </c>
    </row>
    <row r="4" spans="2:11" ht="18.75" x14ac:dyDescent="0.3">
      <c r="B4" s="1"/>
      <c r="H4" s="55"/>
      <c r="I4" s="28"/>
      <c r="J4" s="68"/>
    </row>
    <row r="5" spans="2:11" x14ac:dyDescent="0.25">
      <c r="C5" s="79" t="s">
        <v>365</v>
      </c>
    </row>
    <row r="6" spans="2:11" x14ac:dyDescent="0.25">
      <c r="B6" s="29" t="s">
        <v>349</v>
      </c>
      <c r="C6" s="83" t="s">
        <v>130</v>
      </c>
      <c r="D6" s="46">
        <v>50</v>
      </c>
      <c r="E6" s="47">
        <v>100</v>
      </c>
      <c r="F6" s="47">
        <v>150</v>
      </c>
      <c r="G6" s="47">
        <v>200</v>
      </c>
      <c r="H6" s="47">
        <v>250</v>
      </c>
      <c r="I6" s="47">
        <v>300</v>
      </c>
      <c r="J6" s="47">
        <v>500</v>
      </c>
      <c r="K6" s="47">
        <v>1000</v>
      </c>
    </row>
    <row r="7" spans="2:11" x14ac:dyDescent="0.25">
      <c r="B7" s="70" t="str">
        <f>'MEMD 50'!B7</f>
        <v>Pot</v>
      </c>
      <c r="C7" s="84"/>
      <c r="D7" s="49"/>
      <c r="E7" s="52"/>
      <c r="F7" s="52"/>
      <c r="G7" s="52"/>
      <c r="H7" s="52"/>
      <c r="I7" s="52"/>
      <c r="J7" s="52"/>
      <c r="K7" s="52"/>
    </row>
    <row r="8" spans="2:11" x14ac:dyDescent="0.25">
      <c r="B8" s="9" t="str">
        <f>'MEMD 50'!C8</f>
        <v>Pot body inside diameter</v>
      </c>
      <c r="C8" s="85" t="str">
        <f>'MEMD 50'!I8</f>
        <v>D1</v>
      </c>
      <c r="D8" s="32">
        <f>'MEMD 50'!D8</f>
        <v>460</v>
      </c>
      <c r="E8" s="32">
        <f>'MEMD 100'!D8</f>
        <v>580</v>
      </c>
      <c r="F8" s="32">
        <f>'MEMD 150'!D8</f>
        <v>665</v>
      </c>
      <c r="G8" s="32">
        <f>'MEMD 200'!D8</f>
        <v>730</v>
      </c>
      <c r="H8" s="32">
        <f>'MEMD 250'!D8</f>
        <v>788</v>
      </c>
      <c r="I8" s="32">
        <f>'MEMD 300'!D8</f>
        <v>838</v>
      </c>
      <c r="J8" s="32">
        <f>'MEMD 500'!D8</f>
        <v>992</v>
      </c>
      <c r="K8" s="50">
        <f>'MEMD 1000'!D8</f>
        <v>1240</v>
      </c>
    </row>
    <row r="9" spans="2:11" x14ac:dyDescent="0.25">
      <c r="B9" s="9" t="str">
        <f>'MEMD 50'!C9</f>
        <v>Pot inside height and ratio of 0.7:1.0</v>
      </c>
      <c r="C9" s="85" t="str">
        <f>'MEMD 50'!I9</f>
        <v>H1</v>
      </c>
      <c r="D9" s="32">
        <f>'MEMD 50'!D9</f>
        <v>322</v>
      </c>
      <c r="E9" s="32">
        <f>'MEMD 100'!D9</f>
        <v>406</v>
      </c>
      <c r="F9" s="32">
        <f>'MEMD 150'!D9</f>
        <v>465.49999999999994</v>
      </c>
      <c r="G9" s="32">
        <f>'MEMD 200'!D9</f>
        <v>510.99999999999994</v>
      </c>
      <c r="H9" s="32">
        <f>'MEMD 250'!D9</f>
        <v>551.59999999999991</v>
      </c>
      <c r="I9" s="32">
        <f>'MEMD 300'!D9</f>
        <v>586.59999999999991</v>
      </c>
      <c r="J9" s="32">
        <f>'MEMD 500'!D9</f>
        <v>694.4</v>
      </c>
      <c r="K9" s="50">
        <f>'MEMD 1000'!D9</f>
        <v>868</v>
      </c>
    </row>
    <row r="10" spans="2:11" x14ac:dyDescent="0.25">
      <c r="B10" s="9" t="str">
        <f>'MEMD 50'!C10</f>
        <v>Pot volume</v>
      </c>
      <c r="C10" s="85" t="str">
        <f>'MEMD 50'!I10</f>
        <v>V1</v>
      </c>
      <c r="D10" s="32">
        <f>'MEMD 50'!D10</f>
        <v>53.513260942717807</v>
      </c>
      <c r="E10" s="32">
        <f>'MEMD 100'!D10</f>
        <v>107.26842451976205</v>
      </c>
      <c r="F10" s="32">
        <f>'MEMD 150'!D10</f>
        <v>161.67871815732721</v>
      </c>
      <c r="G10" s="32">
        <f>'MEMD 200'!D10</f>
        <v>213.87326613126959</v>
      </c>
      <c r="H10" s="32">
        <f>'MEMD 250'!D10</f>
        <v>269.00885368844206</v>
      </c>
      <c r="I10" s="32">
        <f>'MEMD 300'!D10</f>
        <v>323.53403733284449</v>
      </c>
      <c r="J10" s="32">
        <f>'MEMD 500'!D10</f>
        <v>536.68930125959548</v>
      </c>
      <c r="K10" s="50">
        <f>'MEMD 1000'!D10</f>
        <v>1048.2212915226476</v>
      </c>
    </row>
    <row r="11" spans="2:11" x14ac:dyDescent="0.25">
      <c r="B11" s="9" t="str">
        <f>'MEMD 50'!C11</f>
        <v>Pot side wall thickness</v>
      </c>
      <c r="C11" s="85" t="str">
        <f>'MEMD 50'!I11</f>
        <v>T1</v>
      </c>
      <c r="D11" s="32">
        <f>'MEMD 50'!D11</f>
        <v>2</v>
      </c>
      <c r="E11" s="32">
        <f>'MEMD 100'!D11</f>
        <v>2</v>
      </c>
      <c r="F11" s="32">
        <f>'MEMD 150'!D11</f>
        <v>2</v>
      </c>
      <c r="G11" s="32">
        <f>'MEMD 200'!D11</f>
        <v>2</v>
      </c>
      <c r="H11" s="32">
        <f>'MEMD 250'!D11</f>
        <v>2</v>
      </c>
      <c r="I11" s="32">
        <f>'MEMD 300'!D11</f>
        <v>2</v>
      </c>
      <c r="J11" s="32">
        <f>'MEMD 500'!D11</f>
        <v>2</v>
      </c>
      <c r="K11" s="50">
        <f>'MEMD 1000'!D11</f>
        <v>2</v>
      </c>
    </row>
    <row r="12" spans="2:11" x14ac:dyDescent="0.25">
      <c r="B12" s="9" t="str">
        <f>'MEMD 50'!C12</f>
        <v>Pot bottom thickness</v>
      </c>
      <c r="C12" s="85" t="str">
        <f>'MEMD 50'!I12</f>
        <v>T2</v>
      </c>
      <c r="D12" s="32">
        <f>'MEMD 50'!D12</f>
        <v>3</v>
      </c>
      <c r="E12" s="32">
        <f>'MEMD 100'!D12</f>
        <v>3</v>
      </c>
      <c r="F12" s="32">
        <f>'MEMD 150'!D12</f>
        <v>3</v>
      </c>
      <c r="G12" s="32">
        <f>'MEMD 200'!D12</f>
        <v>3</v>
      </c>
      <c r="H12" s="32">
        <f>'MEMD 250'!D12</f>
        <v>3</v>
      </c>
      <c r="I12" s="32">
        <f>'MEMD 300'!D12</f>
        <v>3</v>
      </c>
      <c r="J12" s="32">
        <f>'MEMD 500'!D12</f>
        <v>3</v>
      </c>
      <c r="K12" s="50">
        <f>'MEMD 1000'!D12</f>
        <v>3</v>
      </c>
    </row>
    <row r="13" spans="2:11" x14ac:dyDescent="0.25">
      <c r="B13" s="9" t="str">
        <f>'MEMD 50'!C13</f>
        <v>Collar gripping the pot, width</v>
      </c>
      <c r="C13" s="85" t="str">
        <f>'MEMD 50'!I13</f>
        <v>W1</v>
      </c>
      <c r="D13" s="32">
        <f>'MEMD 50'!D13</f>
        <v>40</v>
      </c>
      <c r="E13" s="32">
        <f>'MEMD 100'!D13</f>
        <v>40</v>
      </c>
      <c r="F13" s="32">
        <f>'MEMD 150'!D13</f>
        <v>40</v>
      </c>
      <c r="G13" s="32">
        <f>'MEMD 200'!D13</f>
        <v>40</v>
      </c>
      <c r="H13" s="32">
        <f>'MEMD 250'!D13</f>
        <v>40</v>
      </c>
      <c r="I13" s="32">
        <f>'MEMD 300'!D13</f>
        <v>40</v>
      </c>
      <c r="J13" s="32">
        <f>'MEMD 500'!D13</f>
        <v>40</v>
      </c>
      <c r="K13" s="50">
        <f>'MEMD 1000'!D13</f>
        <v>40</v>
      </c>
    </row>
    <row r="14" spans="2:11" x14ac:dyDescent="0.25">
      <c r="B14" s="9" t="str">
        <f>'MEMD 50'!C14</f>
        <v>Pot body outside diameter</v>
      </c>
      <c r="C14" s="85">
        <f>'MEMD 50'!I14</f>
        <v>0</v>
      </c>
      <c r="D14" s="32">
        <f>'MEMD 50'!D14</f>
        <v>464</v>
      </c>
      <c r="E14" s="32">
        <f>'MEMD 100'!D14</f>
        <v>584</v>
      </c>
      <c r="F14" s="32">
        <f>'MEMD 150'!D14</f>
        <v>669</v>
      </c>
      <c r="G14" s="32">
        <f>'MEMD 200'!D14</f>
        <v>734</v>
      </c>
      <c r="H14" s="32">
        <f>'MEMD 250'!D14</f>
        <v>792</v>
      </c>
      <c r="I14" s="32">
        <f>'MEMD 300'!D14</f>
        <v>842</v>
      </c>
      <c r="J14" s="32">
        <f>'MEMD 500'!D14</f>
        <v>996</v>
      </c>
      <c r="K14" s="50">
        <f>'MEMD 1000'!D14</f>
        <v>1244</v>
      </c>
    </row>
    <row r="15" spans="2:11" x14ac:dyDescent="0.25">
      <c r="B15" s="9" t="str">
        <f>'MEMD 50'!C15</f>
        <v>Exposed pot height above body</v>
      </c>
      <c r="C15" s="85" t="str">
        <f>'MEMD 50'!I15</f>
        <v>H2</v>
      </c>
      <c r="D15" s="32">
        <f>'MEMD 50'!D15</f>
        <v>81.25</v>
      </c>
      <c r="E15" s="32">
        <f>'MEMD 100'!D15</f>
        <v>102.25</v>
      </c>
      <c r="F15" s="32">
        <f>'MEMD 150'!D15</f>
        <v>117.12499999999999</v>
      </c>
      <c r="G15" s="32">
        <f>'MEMD 200'!D15</f>
        <v>128.5</v>
      </c>
      <c r="H15" s="32">
        <f>'MEMD 250'!D15</f>
        <v>138.64999999999998</v>
      </c>
      <c r="I15" s="32">
        <f>'MEMD 300'!D15</f>
        <v>147.39999999999998</v>
      </c>
      <c r="J15" s="32">
        <f>'MEMD 500'!D15</f>
        <v>174.35</v>
      </c>
      <c r="K15" s="50">
        <f>'MEMD 1000'!D15</f>
        <v>217.75</v>
      </c>
    </row>
    <row r="16" spans="2:11" x14ac:dyDescent="0.25">
      <c r="B16" s="9" t="str">
        <f>'MEMD 50'!C16</f>
        <v>Pot O.D.</v>
      </c>
      <c r="C16" s="85" t="str">
        <f>'MEMD 50'!I16</f>
        <v>OD1</v>
      </c>
      <c r="D16" s="32">
        <f>'MEMD 50'!D16</f>
        <v>464</v>
      </c>
      <c r="E16" s="32">
        <f>'MEMD 100'!D16</f>
        <v>584</v>
      </c>
      <c r="F16" s="32">
        <f>'MEMD 150'!D16</f>
        <v>669</v>
      </c>
      <c r="G16" s="32">
        <f>'MEMD 200'!D16</f>
        <v>734</v>
      </c>
      <c r="H16" s="32">
        <f>'MEMD 250'!D16</f>
        <v>792</v>
      </c>
      <c r="I16" s="32">
        <f>'MEMD 300'!D16</f>
        <v>842</v>
      </c>
      <c r="J16" s="32">
        <f>'MEMD 500'!D16</f>
        <v>996</v>
      </c>
      <c r="K16" s="50">
        <f>'MEMD 1000'!D16</f>
        <v>1244</v>
      </c>
    </row>
    <row r="17" spans="2:11" x14ac:dyDescent="0.25">
      <c r="B17" s="9" t="str">
        <f>'MEMD 50'!C17</f>
        <v>Outside diameter of pot collar</v>
      </c>
      <c r="C17" s="85" t="str">
        <f>'MEMD 50'!I17</f>
        <v>OD2</v>
      </c>
      <c r="D17" s="32">
        <f>'MEMD 50'!D17</f>
        <v>544</v>
      </c>
      <c r="E17" s="32">
        <f>'MEMD 100'!D17</f>
        <v>664</v>
      </c>
      <c r="F17" s="32">
        <f>'MEMD 150'!D17</f>
        <v>749</v>
      </c>
      <c r="G17" s="32">
        <f>'MEMD 200'!D17</f>
        <v>814</v>
      </c>
      <c r="H17" s="32">
        <f>'MEMD 250'!D17</f>
        <v>872</v>
      </c>
      <c r="I17" s="32">
        <f>'MEMD 300'!D17</f>
        <v>922</v>
      </c>
      <c r="J17" s="32">
        <f>'MEMD 500'!D17</f>
        <v>1076</v>
      </c>
      <c r="K17" s="50">
        <f>'MEMD 1000'!D17</f>
        <v>1324</v>
      </c>
    </row>
    <row r="18" spans="2:11" x14ac:dyDescent="0.25">
      <c r="B18" s="9" t="str">
        <f>'MEMD 50'!C18</f>
        <v>Pot overall height</v>
      </c>
      <c r="C18" s="85" t="str">
        <f>'MEMD 50'!I18</f>
        <v>H1.1</v>
      </c>
      <c r="D18" s="32">
        <f>'MEMD 50'!D18</f>
        <v>325</v>
      </c>
      <c r="E18" s="32">
        <f>'MEMD 100'!D18</f>
        <v>409</v>
      </c>
      <c r="F18" s="32">
        <f>'MEMD 150'!D18</f>
        <v>468.49999999999994</v>
      </c>
      <c r="G18" s="32">
        <f>'MEMD 200'!D18</f>
        <v>514</v>
      </c>
      <c r="H18" s="32">
        <f>'MEMD 250'!D18</f>
        <v>554.59999999999991</v>
      </c>
      <c r="I18" s="32">
        <f>'MEMD 300'!D18</f>
        <v>589.59999999999991</v>
      </c>
      <c r="J18" s="32">
        <f>'MEMD 500'!D18</f>
        <v>697.4</v>
      </c>
      <c r="K18" s="50">
        <f>'MEMD 1000'!D18</f>
        <v>871</v>
      </c>
    </row>
    <row r="19" spans="2:11" x14ac:dyDescent="0.25">
      <c r="B19" s="9"/>
      <c r="C19" s="85"/>
      <c r="D19" s="32"/>
      <c r="E19" s="32"/>
      <c r="F19" s="32"/>
      <c r="G19" s="32"/>
      <c r="H19" s="32"/>
      <c r="I19" s="32"/>
      <c r="J19" s="32"/>
      <c r="K19" s="50"/>
    </row>
    <row r="20" spans="2:11" x14ac:dyDescent="0.25">
      <c r="B20" s="62" t="str">
        <f>'MEMD 50'!B20</f>
        <v>Steel support ring for the pot</v>
      </c>
      <c r="C20" s="85"/>
      <c r="D20" s="32"/>
      <c r="E20" s="32"/>
      <c r="F20" s="32"/>
      <c r="G20" s="32"/>
      <c r="H20" s="32"/>
      <c r="I20" s="32"/>
      <c r="J20" s="32"/>
      <c r="K20" s="50"/>
    </row>
    <row r="21" spans="2:11" x14ac:dyDescent="0.25">
      <c r="B21" s="9" t="str">
        <f>'MEMD 50'!C21</f>
        <v>Steel support ring I.D.</v>
      </c>
      <c r="C21" s="85" t="str">
        <f>'MEMD 50'!I21</f>
        <v>D2</v>
      </c>
      <c r="D21" s="32">
        <f>'MEMD 50'!D21</f>
        <v>472.28</v>
      </c>
      <c r="E21" s="32">
        <f>'MEMD 100'!D21</f>
        <v>594.44000000000005</v>
      </c>
      <c r="F21" s="32">
        <f>'MEMD 150'!D21</f>
        <v>680.97</v>
      </c>
      <c r="G21" s="32">
        <f>'MEMD 200'!D21</f>
        <v>747.14</v>
      </c>
      <c r="H21" s="32">
        <f>'MEMD 250'!D21</f>
        <v>806.18399999999997</v>
      </c>
      <c r="I21" s="32">
        <f>'MEMD 300'!D21</f>
        <v>857.08399999999995</v>
      </c>
      <c r="J21" s="32">
        <f>'MEMD 500'!D21</f>
        <v>1013.856</v>
      </c>
      <c r="K21" s="50">
        <f>'MEMD 1000'!D21</f>
        <v>1266.32</v>
      </c>
    </row>
    <row r="22" spans="2:11" x14ac:dyDescent="0.25">
      <c r="B22" s="9" t="str">
        <f>'MEMD 50'!C22</f>
        <v>Steel support ring thickness</v>
      </c>
      <c r="C22" s="85" t="str">
        <f>'MEMD 50'!I22</f>
        <v>T3</v>
      </c>
      <c r="D22" s="32">
        <f>'MEMD 50'!D22</f>
        <v>5</v>
      </c>
      <c r="E22" s="32">
        <f>'MEMD 100'!D22</f>
        <v>5</v>
      </c>
      <c r="F22" s="32">
        <f>'MEMD 150'!D22</f>
        <v>5</v>
      </c>
      <c r="G22" s="32">
        <f>'MEMD 200'!D22</f>
        <v>5</v>
      </c>
      <c r="H22" s="32">
        <f>'MEMD 250'!D22</f>
        <v>5</v>
      </c>
      <c r="I22" s="32">
        <f>'MEMD 300'!D22</f>
        <v>5</v>
      </c>
      <c r="J22" s="32">
        <f>'MEMD 500'!D22</f>
        <v>5</v>
      </c>
      <c r="K22" s="50">
        <f>'MEMD 1000'!D22</f>
        <v>5</v>
      </c>
    </row>
    <row r="23" spans="2:11" x14ac:dyDescent="0.25">
      <c r="B23" s="9" t="str">
        <f>'MEMD 50'!C23</f>
        <v>Support steel ring O.D.</v>
      </c>
      <c r="C23" s="85" t="str">
        <f>'MEMD 50'!I23</f>
        <v>OD3</v>
      </c>
      <c r="D23" s="32">
        <f>'MEMD 50'!D23</f>
        <v>482.28</v>
      </c>
      <c r="E23" s="32">
        <f>'MEMD 100'!D23</f>
        <v>604.44000000000005</v>
      </c>
      <c r="F23" s="32">
        <f>'MEMD 150'!D23</f>
        <v>690.97</v>
      </c>
      <c r="G23" s="32">
        <f>'MEMD 200'!D23</f>
        <v>757.14</v>
      </c>
      <c r="H23" s="32">
        <f>'MEMD 250'!D23</f>
        <v>816.18399999999997</v>
      </c>
      <c r="I23" s="32">
        <f>'MEMD 300'!D23</f>
        <v>867.08399999999995</v>
      </c>
      <c r="J23" s="32">
        <f>'MEMD 500'!D23</f>
        <v>1023.856</v>
      </c>
      <c r="K23" s="50">
        <f>'MEMD 1000'!D23</f>
        <v>1276.32</v>
      </c>
    </row>
    <row r="24" spans="2:11" x14ac:dyDescent="0.25">
      <c r="B24" s="9" t="str">
        <f>'MEMD 50'!C24</f>
        <v>Support ring height</v>
      </c>
      <c r="C24" s="85" t="str">
        <f>'MEMD 50'!I24</f>
        <v>H3</v>
      </c>
      <c r="D24" s="32">
        <f>'MEMD 50'!D24</f>
        <v>50</v>
      </c>
      <c r="E24" s="32">
        <f>'MEMD 100'!D24</f>
        <v>50</v>
      </c>
      <c r="F24" s="32">
        <f>'MEMD 150'!D24</f>
        <v>50</v>
      </c>
      <c r="G24" s="32">
        <f>'MEMD 200'!D24</f>
        <v>50</v>
      </c>
      <c r="H24" s="32">
        <f>'MEMD 250'!D24</f>
        <v>50</v>
      </c>
      <c r="I24" s="32">
        <f>'MEMD 300'!D24</f>
        <v>50</v>
      </c>
      <c r="J24" s="32">
        <f>'MEMD 500'!D24</f>
        <v>50</v>
      </c>
      <c r="K24" s="50">
        <f>'MEMD 1000'!D24</f>
        <v>50</v>
      </c>
    </row>
    <row r="25" spans="2:11" x14ac:dyDescent="0.25">
      <c r="B25" s="9" t="str">
        <f>'MEMD 50'!C25</f>
        <v>Pot clearance each side of steel ring</v>
      </c>
      <c r="C25" s="85" t="str">
        <f>'MEMD 50'!I25</f>
        <v>W2</v>
      </c>
      <c r="D25" s="32">
        <f>'MEMD 50'!D25</f>
        <v>4.1399999999999997</v>
      </c>
      <c r="E25" s="32">
        <f>'MEMD 100'!D25</f>
        <v>5.22</v>
      </c>
      <c r="F25" s="32">
        <f>'MEMD 150'!D25</f>
        <v>5.9849999999999994</v>
      </c>
      <c r="G25" s="32">
        <f>'MEMD 200'!D25</f>
        <v>6.5699999999999994</v>
      </c>
      <c r="H25" s="32">
        <f>'MEMD 250'!D25</f>
        <v>7.0919999999999996</v>
      </c>
      <c r="I25" s="32">
        <f>'MEMD 300'!D25</f>
        <v>7.5419999999999998</v>
      </c>
      <c r="J25" s="32">
        <f>'MEMD 500'!D25</f>
        <v>8.927999999999999</v>
      </c>
      <c r="K25" s="50">
        <f>'MEMD 1000'!D25</f>
        <v>11.159999999999998</v>
      </c>
    </row>
    <row r="26" spans="2:11" x14ac:dyDescent="0.25">
      <c r="B26" s="9" t="str">
        <f>'MEMD 50'!C26</f>
        <v>Steel support ring cut length</v>
      </c>
      <c r="C26" s="85">
        <f>'MEMD 50'!I26</f>
        <v>0</v>
      </c>
      <c r="D26" s="32">
        <f>'MEMD 50'!D26</f>
        <v>1494.1833539493534</v>
      </c>
      <c r="E26" s="32">
        <f>'MEMD 100'!D26</f>
        <v>1877.9603125118829</v>
      </c>
      <c r="F26" s="32">
        <f>'MEMD 150'!D26</f>
        <v>2149.8023248270074</v>
      </c>
      <c r="G26" s="32">
        <f>'MEMD 200'!D26</f>
        <v>2357.6815107150442</v>
      </c>
      <c r="H26" s="32">
        <f>'MEMD 250'!D26</f>
        <v>2543.1737073535996</v>
      </c>
      <c r="I26" s="32">
        <f>'MEMD 300'!D26</f>
        <v>2703.0807734213204</v>
      </c>
      <c r="J26" s="32">
        <f>'MEMD 500'!D26</f>
        <v>3195.5945369098995</v>
      </c>
      <c r="K26" s="50">
        <f>'MEMD 1000'!D26</f>
        <v>3988.7335846057922</v>
      </c>
    </row>
    <row r="27" spans="2:11" x14ac:dyDescent="0.25">
      <c r="B27" s="9" t="str">
        <f>'MEMD 50'!C27</f>
        <v>Radial support length</v>
      </c>
      <c r="C27" s="85">
        <f>'MEMD 50'!I27</f>
        <v>0</v>
      </c>
      <c r="D27" s="32">
        <f>'MEMD 50'!D27</f>
        <v>144.684</v>
      </c>
      <c r="E27" s="32">
        <f>'MEMD 100'!D27</f>
        <v>181.33200000000002</v>
      </c>
      <c r="F27" s="32">
        <f>'MEMD 150'!D27</f>
        <v>207.291</v>
      </c>
      <c r="G27" s="32">
        <f>'MEMD 200'!D27</f>
        <v>227.142</v>
      </c>
      <c r="H27" s="32">
        <f>'MEMD 250'!D27</f>
        <v>244.85519999999997</v>
      </c>
      <c r="I27" s="32">
        <f>'MEMD 300'!D27</f>
        <v>260.12519999999995</v>
      </c>
      <c r="J27" s="32">
        <f>'MEMD 500'!D27</f>
        <v>307.15679999999998</v>
      </c>
      <c r="K27" s="50">
        <f>'MEMD 1000'!D27</f>
        <v>382.89599999999996</v>
      </c>
    </row>
    <row r="28" spans="2:11" x14ac:dyDescent="0.25">
      <c r="B28" s="9" t="str">
        <f>'MEMD 50'!C28</f>
        <v>Minimum thickness of the radial supports</v>
      </c>
      <c r="C28" s="85">
        <f>'MEMD 50'!I28</f>
        <v>0</v>
      </c>
      <c r="D28" s="32">
        <f>'MEMD 50'!D28</f>
        <v>6</v>
      </c>
      <c r="E28" s="32">
        <f>'MEMD 100'!D28</f>
        <v>6</v>
      </c>
      <c r="F28" s="32">
        <f>'MEMD 150'!D28</f>
        <v>6</v>
      </c>
      <c r="G28" s="32">
        <f>'MEMD 200'!D28</f>
        <v>6</v>
      </c>
      <c r="H28" s="32">
        <f>'MEMD 250'!D28</f>
        <v>6</v>
      </c>
      <c r="I28" s="32">
        <f>'MEMD 300'!D28</f>
        <v>6</v>
      </c>
      <c r="J28" s="32">
        <f>'MEMD 500'!D28</f>
        <v>6</v>
      </c>
      <c r="K28" s="50">
        <f>'MEMD 1000'!D28</f>
        <v>6</v>
      </c>
    </row>
    <row r="29" spans="2:11" x14ac:dyDescent="0.25">
      <c r="B29" s="9"/>
      <c r="C29" s="85"/>
      <c r="D29" s="32"/>
      <c r="E29" s="32"/>
      <c r="F29" s="32"/>
      <c r="G29" s="32"/>
      <c r="H29" s="32"/>
      <c r="I29" s="32"/>
      <c r="J29" s="32"/>
      <c r="K29" s="50"/>
    </row>
    <row r="30" spans="2:11" x14ac:dyDescent="0.25">
      <c r="B30" s="62" t="str">
        <f>'MEMD 50'!B30</f>
        <v>Building Units</v>
      </c>
      <c r="C30" s="85"/>
      <c r="D30" s="32"/>
      <c r="E30" s="32"/>
      <c r="F30" s="32"/>
      <c r="G30" s="32"/>
      <c r="H30" s="32"/>
      <c r="I30" s="32"/>
      <c r="J30" s="32"/>
      <c r="K30" s="50"/>
    </row>
    <row r="31" spans="2:11" x14ac:dyDescent="0.25">
      <c r="B31" s="9" t="str">
        <f>'MEMD 50'!C31</f>
        <v>Width of a "select" brick</v>
      </c>
      <c r="C31" s="85" t="str">
        <f>'MEMD 50'!I31</f>
        <v>BW1</v>
      </c>
      <c r="D31" s="32">
        <f>'MEMD 50'!D31</f>
        <v>107.94999999999999</v>
      </c>
      <c r="E31" s="32">
        <f>'MEMD 100'!D31</f>
        <v>107.94999999999999</v>
      </c>
      <c r="F31" s="32">
        <f>'MEMD 150'!D31</f>
        <v>107.94999999999999</v>
      </c>
      <c r="G31" s="32">
        <f>'MEMD 200'!D31</f>
        <v>107.94999999999999</v>
      </c>
      <c r="H31" s="32">
        <f>'MEMD 250'!D31</f>
        <v>107.94999999999999</v>
      </c>
      <c r="I31" s="32">
        <f>'MEMD 300'!D31</f>
        <v>107.94999999999999</v>
      </c>
      <c r="J31" s="32">
        <f>'MEMD 500'!D31</f>
        <v>107.94999999999999</v>
      </c>
      <c r="K31" s="50">
        <f>'MEMD 1000'!D31</f>
        <v>107.94999999999999</v>
      </c>
    </row>
    <row r="32" spans="2:11" x14ac:dyDescent="0.25">
      <c r="B32" s="9" t="str">
        <f>'MEMD 50'!C32</f>
        <v>Thickness of a "select" brick</v>
      </c>
      <c r="C32" s="85" t="str">
        <f>'MEMD 50'!I32</f>
        <v>BT1</v>
      </c>
      <c r="D32" s="32">
        <f>'MEMD 50'!D32</f>
        <v>76.199999999999989</v>
      </c>
      <c r="E32" s="32">
        <f>'MEMD 100'!D32</f>
        <v>76.199999999999989</v>
      </c>
      <c r="F32" s="32">
        <f>'MEMD 150'!D32</f>
        <v>76.199999999999989</v>
      </c>
      <c r="G32" s="32">
        <f>'MEMD 200'!D32</f>
        <v>76.199999999999989</v>
      </c>
      <c r="H32" s="32">
        <f>'MEMD 250'!D32</f>
        <v>76.199999999999989</v>
      </c>
      <c r="I32" s="32">
        <f>'MEMD 300'!D32</f>
        <v>76.199999999999989</v>
      </c>
      <c r="J32" s="32">
        <f>'MEMD 500'!D32</f>
        <v>76.199999999999989</v>
      </c>
      <c r="K32" s="50">
        <f>'MEMD 1000'!D32</f>
        <v>76.199999999999989</v>
      </c>
    </row>
    <row r="33" spans="2:11" x14ac:dyDescent="0.25">
      <c r="B33" s="9" t="str">
        <f>'MEMD 50'!C33</f>
        <v>Length of a "select" brick</v>
      </c>
      <c r="C33" s="85">
        <f>'MEMD 50'!I33</f>
        <v>0</v>
      </c>
      <c r="D33" s="32">
        <f>'MEMD 50'!D33</f>
        <v>228.6</v>
      </c>
      <c r="E33" s="32">
        <f>'MEMD 100'!D33</f>
        <v>228.6</v>
      </c>
      <c r="F33" s="32">
        <f>'MEMD 150'!D33</f>
        <v>228.6</v>
      </c>
      <c r="G33" s="32">
        <f>'MEMD 200'!D33</f>
        <v>228.6</v>
      </c>
      <c r="H33" s="32">
        <f>'MEMD 250'!D33</f>
        <v>228.6</v>
      </c>
      <c r="I33" s="32">
        <f>'MEMD 300'!D33</f>
        <v>228.6</v>
      </c>
      <c r="J33" s="32">
        <f>'MEMD 500'!D33</f>
        <v>228.6</v>
      </c>
      <c r="K33" s="50">
        <f>'MEMD 1000'!D33</f>
        <v>228.6</v>
      </c>
    </row>
    <row r="34" spans="2:11" x14ac:dyDescent="0.25">
      <c r="B34" s="9" t="str">
        <f>'MEMD 50'!C34</f>
        <v>Width of a "curved" brick</v>
      </c>
      <c r="C34" s="85">
        <f>'MEMD 50'!I34</f>
        <v>0</v>
      </c>
      <c r="D34" s="32">
        <f>'MEMD 50'!D34</f>
        <v>91.3</v>
      </c>
      <c r="E34" s="32">
        <f>'MEMD 100'!D34</f>
        <v>91.3</v>
      </c>
      <c r="F34" s="32">
        <f>'MEMD 150'!D34</f>
        <v>91.3</v>
      </c>
      <c r="G34" s="32">
        <f>'MEMD 200'!D34</f>
        <v>91.3</v>
      </c>
      <c r="H34" s="32">
        <f>'MEMD 250'!D34</f>
        <v>91.3</v>
      </c>
      <c r="I34" s="32">
        <f>'MEMD 300'!D34</f>
        <v>91.3</v>
      </c>
      <c r="J34" s="32">
        <f>'MEMD 500'!D34</f>
        <v>91.3</v>
      </c>
      <c r="K34" s="50">
        <f>'MEMD 1000'!D34</f>
        <v>91.3</v>
      </c>
    </row>
    <row r="35" spans="2:11" x14ac:dyDescent="0.25">
      <c r="B35" s="9" t="str">
        <f>'MEMD 50'!C35</f>
        <v>Thickness of a "curved" brick</v>
      </c>
      <c r="C35" s="85">
        <f>'MEMD 50'!I35</f>
        <v>0</v>
      </c>
      <c r="D35" s="32">
        <f>'MEMD 50'!D35</f>
        <v>76.2</v>
      </c>
      <c r="E35" s="32">
        <f>'MEMD 100'!D35</f>
        <v>76.2</v>
      </c>
      <c r="F35" s="32">
        <f>'MEMD 150'!D35</f>
        <v>76.2</v>
      </c>
      <c r="G35" s="32">
        <f>'MEMD 200'!D35</f>
        <v>76.2</v>
      </c>
      <c r="H35" s="32">
        <f>'MEMD 250'!D35</f>
        <v>76.2</v>
      </c>
      <c r="I35" s="32">
        <f>'MEMD 300'!D35</f>
        <v>76.2</v>
      </c>
      <c r="J35" s="32">
        <f>'MEMD 500'!D35</f>
        <v>76.2</v>
      </c>
      <c r="K35" s="50">
        <f>'MEMD 1000'!D35</f>
        <v>76.2</v>
      </c>
    </row>
    <row r="36" spans="2:11" x14ac:dyDescent="0.25">
      <c r="B36" s="9" t="str">
        <f>'MEMD 50'!C36</f>
        <v>Length of a "curved" brick</v>
      </c>
      <c r="C36" s="85">
        <f>'MEMD 50'!I36</f>
        <v>0</v>
      </c>
      <c r="D36" s="32">
        <f>'MEMD 50'!D36</f>
        <v>250.1</v>
      </c>
      <c r="E36" s="32">
        <f>'MEMD 100'!D36</f>
        <v>250.1</v>
      </c>
      <c r="F36" s="32">
        <f>'MEMD 150'!D36</f>
        <v>250.1</v>
      </c>
      <c r="G36" s="32">
        <f>'MEMD 200'!D36</f>
        <v>250.1</v>
      </c>
      <c r="H36" s="32">
        <f>'MEMD 250'!D36</f>
        <v>250.1</v>
      </c>
      <c r="I36" s="32">
        <f>'MEMD 300'!D36</f>
        <v>250.1</v>
      </c>
      <c r="J36" s="32">
        <f>'MEMD 500'!D36</f>
        <v>250.1</v>
      </c>
      <c r="K36" s="50">
        <f>'MEMD 1000'!D36</f>
        <v>250.1</v>
      </c>
    </row>
    <row r="37" spans="2:11" x14ac:dyDescent="0.25">
      <c r="B37" s="9" t="str">
        <f>'MEMD 50'!C37</f>
        <v>Width of fuel shelf grate brick</v>
      </c>
      <c r="C37" s="85">
        <f>'MEMD 50'!I37</f>
        <v>0</v>
      </c>
      <c r="D37" s="32">
        <f>'MEMD 50'!D37</f>
        <v>76</v>
      </c>
      <c r="E37" s="32">
        <f>'MEMD 100'!D38</f>
        <v>133</v>
      </c>
      <c r="F37" s="32">
        <f>'MEMD 150'!D38</f>
        <v>133</v>
      </c>
      <c r="G37" s="32">
        <f>'MEMD 200'!D38</f>
        <v>133</v>
      </c>
      <c r="H37" s="32">
        <f>'MEMD 250'!D38</f>
        <v>133</v>
      </c>
      <c r="I37" s="32">
        <f>'MEMD 300'!D38</f>
        <v>133</v>
      </c>
      <c r="J37" s="32">
        <f>'MEMD 500'!D38</f>
        <v>133</v>
      </c>
      <c r="K37" s="50">
        <f>'MEMD 1000'!D38</f>
        <v>133</v>
      </c>
    </row>
    <row r="38" spans="2:11" x14ac:dyDescent="0.25">
      <c r="B38" s="9" t="str">
        <f>'MEMD 50'!C39</f>
        <v>Thickness of fuel shelf grate brick</v>
      </c>
      <c r="C38" s="85">
        <f>'MEMD 50'!I39</f>
        <v>0</v>
      </c>
      <c r="D38" s="32">
        <f>'MEMD 50'!D39</f>
        <v>76</v>
      </c>
      <c r="E38" s="32">
        <f>'MEMD 100'!D39</f>
        <v>85</v>
      </c>
      <c r="F38" s="32">
        <f>'MEMD 150'!D39</f>
        <v>85</v>
      </c>
      <c r="G38" s="32">
        <f>'MEMD 200'!D39</f>
        <v>85</v>
      </c>
      <c r="H38" s="32">
        <f>'MEMD 250'!D39</f>
        <v>85</v>
      </c>
      <c r="I38" s="32">
        <f>'MEMD 300'!D39</f>
        <v>85</v>
      </c>
      <c r="J38" s="32">
        <f>'MEMD 500'!D39</f>
        <v>85</v>
      </c>
      <c r="K38" s="50">
        <f>'MEMD 1000'!D39</f>
        <v>85</v>
      </c>
    </row>
    <row r="39" spans="2:11" x14ac:dyDescent="0.25">
      <c r="B39" s="9" t="str">
        <f>'MEMD 50'!C40</f>
        <v>Length of fuel shelf grate brick</v>
      </c>
      <c r="C39" s="85">
        <f>'MEMD 50'!I40</f>
        <v>0</v>
      </c>
      <c r="D39" s="32">
        <f>'MEMD 50'!D40</f>
        <v>310</v>
      </c>
      <c r="E39" s="32">
        <f>'MEMD 100'!D40</f>
        <v>350</v>
      </c>
      <c r="F39" s="32">
        <f>'MEMD 150'!D40</f>
        <v>350</v>
      </c>
      <c r="G39" s="32">
        <f>'MEMD 200'!D40</f>
        <v>350</v>
      </c>
      <c r="H39" s="32">
        <f>'MEMD 250'!D40</f>
        <v>350</v>
      </c>
      <c r="I39" s="32">
        <f>'MEMD 300'!D40</f>
        <v>350</v>
      </c>
      <c r="J39" s="32">
        <f>'MEMD 500'!D40</f>
        <v>350</v>
      </c>
      <c r="K39" s="50">
        <f>'MEMD 1000'!D40</f>
        <v>350</v>
      </c>
    </row>
    <row r="40" spans="2:11" x14ac:dyDescent="0.25">
      <c r="B40" s="9" t="str">
        <f>'MEMD 50'!C41</f>
        <v>Width of a refractory brick</v>
      </c>
      <c r="C40" s="85">
        <f>'MEMD 50'!I41</f>
        <v>0</v>
      </c>
      <c r="D40" s="32">
        <f>'MEMD 50'!D41</f>
        <v>107.94999999999999</v>
      </c>
      <c r="E40" s="32">
        <f>'MEMD 100'!D41</f>
        <v>107.94999999999999</v>
      </c>
      <c r="F40" s="32">
        <f>'MEMD 150'!D41</f>
        <v>107.94999999999999</v>
      </c>
      <c r="G40" s="32">
        <f>'MEMD 200'!D41</f>
        <v>107.94999999999999</v>
      </c>
      <c r="H40" s="32">
        <f>'MEMD 250'!D41</f>
        <v>107.94999999999999</v>
      </c>
      <c r="I40" s="32">
        <f>'MEMD 300'!D41</f>
        <v>107.94999999999999</v>
      </c>
      <c r="J40" s="32">
        <f>'MEMD 500'!D41</f>
        <v>107.94999999999999</v>
      </c>
      <c r="K40" s="50">
        <f>'MEMD 1000'!D41</f>
        <v>107.94999999999999</v>
      </c>
    </row>
    <row r="41" spans="2:11" x14ac:dyDescent="0.25">
      <c r="B41" s="9" t="str">
        <f>'MEMD 50'!C42</f>
        <v>Thickness of a refractory brick</v>
      </c>
      <c r="C41" s="85">
        <f>'MEMD 50'!I42</f>
        <v>0</v>
      </c>
      <c r="D41" s="32">
        <f>'MEMD 50'!D42</f>
        <v>76.199999999999989</v>
      </c>
      <c r="E41" s="32">
        <f>'MEMD 100'!D42</f>
        <v>76.199999999999989</v>
      </c>
      <c r="F41" s="32">
        <f>'MEMD 150'!D42</f>
        <v>76.199999999999989</v>
      </c>
      <c r="G41" s="32">
        <f>'MEMD 200'!D42</f>
        <v>76.199999999999989</v>
      </c>
      <c r="H41" s="32">
        <f>'MEMD 250'!D42</f>
        <v>76.199999999999989</v>
      </c>
      <c r="I41" s="32">
        <f>'MEMD 300'!D42</f>
        <v>76.199999999999989</v>
      </c>
      <c r="J41" s="32">
        <f>'MEMD 500'!D42</f>
        <v>76.199999999999989</v>
      </c>
      <c r="K41" s="50">
        <f>'MEMD 1000'!D42</f>
        <v>76.199999999999989</v>
      </c>
    </row>
    <row r="42" spans="2:11" x14ac:dyDescent="0.25">
      <c r="B42" s="9" t="str">
        <f>'MEMD 50'!C43</f>
        <v>Length of a refractory brick</v>
      </c>
      <c r="C42" s="85">
        <f>'MEMD 50'!I43</f>
        <v>0</v>
      </c>
      <c r="D42" s="32">
        <f>'MEMD 50'!D43</f>
        <v>228.6</v>
      </c>
      <c r="E42" s="32">
        <f>'MEMD 100'!D43</f>
        <v>228.6</v>
      </c>
      <c r="F42" s="32">
        <f>'MEMD 150'!D43</f>
        <v>228.6</v>
      </c>
      <c r="G42" s="32">
        <f>'MEMD 200'!D43</f>
        <v>228.6</v>
      </c>
      <c r="H42" s="32">
        <f>'MEMD 250'!D43</f>
        <v>228.6</v>
      </c>
      <c r="I42" s="32">
        <f>'MEMD 300'!D43</f>
        <v>228.6</v>
      </c>
      <c r="J42" s="32">
        <f>'MEMD 500'!D43</f>
        <v>228.6</v>
      </c>
      <c r="K42" s="50">
        <f>'MEMD 1000'!D43</f>
        <v>228.6</v>
      </c>
    </row>
    <row r="43" spans="2:11" x14ac:dyDescent="0.25">
      <c r="B43" s="9" t="str">
        <f>'MEMD 50'!C44</f>
        <v>Width of a stock brick</v>
      </c>
      <c r="C43" s="85">
        <f>'MEMD 50'!I44</f>
        <v>0</v>
      </c>
      <c r="D43" s="32">
        <f>'MEMD 50'!D44</f>
        <v>107.94999999999999</v>
      </c>
      <c r="E43" s="32">
        <f>'MEMD 100'!D44</f>
        <v>107.94999999999999</v>
      </c>
      <c r="F43" s="32">
        <f>'MEMD 150'!D44</f>
        <v>107.94999999999999</v>
      </c>
      <c r="G43" s="32">
        <f>'MEMD 200'!D44</f>
        <v>107.94999999999999</v>
      </c>
      <c r="H43" s="32">
        <f>'MEMD 250'!D44</f>
        <v>107.94999999999999</v>
      </c>
      <c r="I43" s="32">
        <f>'MEMD 300'!D44</f>
        <v>107.94999999999999</v>
      </c>
      <c r="J43" s="32">
        <f>'MEMD 500'!D44</f>
        <v>107.94999999999999</v>
      </c>
      <c r="K43" s="50">
        <f>'MEMD 1000'!D44</f>
        <v>107.94999999999999</v>
      </c>
    </row>
    <row r="44" spans="2:11" x14ac:dyDescent="0.25">
      <c r="B44" s="9" t="str">
        <f>'MEMD 50'!C45</f>
        <v>Thickness of a stock brick</v>
      </c>
      <c r="C44" s="85">
        <f>'MEMD 50'!I45</f>
        <v>0</v>
      </c>
      <c r="D44" s="32">
        <f>'MEMD 50'!D45</f>
        <v>76.199999999999989</v>
      </c>
      <c r="E44" s="32">
        <f>'MEMD 100'!D45</f>
        <v>76.199999999999989</v>
      </c>
      <c r="F44" s="32">
        <f>'MEMD 150'!D45</f>
        <v>76.199999999999989</v>
      </c>
      <c r="G44" s="32">
        <f>'MEMD 200'!D45</f>
        <v>76.199999999999989</v>
      </c>
      <c r="H44" s="32">
        <f>'MEMD 250'!D45</f>
        <v>76.199999999999989</v>
      </c>
      <c r="I44" s="32">
        <f>'MEMD 300'!D45</f>
        <v>76.199999999999989</v>
      </c>
      <c r="J44" s="32">
        <f>'MEMD 500'!D45</f>
        <v>76.199999999999989</v>
      </c>
      <c r="K44" s="50">
        <f>'MEMD 1000'!D45</f>
        <v>76.199999999999989</v>
      </c>
    </row>
    <row r="45" spans="2:11" x14ac:dyDescent="0.25">
      <c r="B45" s="9" t="str">
        <f>'MEMD 50'!C46</f>
        <v>Length of a stock brick</v>
      </c>
      <c r="C45" s="85">
        <f>'MEMD 50'!I46</f>
        <v>0</v>
      </c>
      <c r="D45" s="32">
        <f>'MEMD 50'!D46</f>
        <v>228.6</v>
      </c>
      <c r="E45" s="32">
        <f>'MEMD 100'!D46</f>
        <v>228.6</v>
      </c>
      <c r="F45" s="32">
        <f>'MEMD 150'!D46</f>
        <v>228.6</v>
      </c>
      <c r="G45" s="32">
        <f>'MEMD 200'!D46</f>
        <v>228.6</v>
      </c>
      <c r="H45" s="32">
        <f>'MEMD 250'!D46</f>
        <v>228.6</v>
      </c>
      <c r="I45" s="32">
        <f>'MEMD 300'!D46</f>
        <v>228.6</v>
      </c>
      <c r="J45" s="32">
        <f>'MEMD 500'!D46</f>
        <v>228.6</v>
      </c>
      <c r="K45" s="50">
        <f>'MEMD 1000'!D46</f>
        <v>228.6</v>
      </c>
    </row>
    <row r="46" spans="2:11" x14ac:dyDescent="0.25">
      <c r="B46" s="9" t="str">
        <f>'MEMD 50'!C48</f>
        <v>Mortar thickness between bricks</v>
      </c>
      <c r="C46" s="85">
        <f>'MEMD 50'!I48</f>
        <v>0</v>
      </c>
      <c r="D46" s="32">
        <f>'MEMD 50'!D48</f>
        <v>15</v>
      </c>
      <c r="E46" s="32">
        <f>'MEMD 100'!D48</f>
        <v>15</v>
      </c>
      <c r="F46" s="32">
        <f>'MEMD 150'!D48</f>
        <v>15</v>
      </c>
      <c r="G46" s="32">
        <f>'MEMD 200'!D48</f>
        <v>15</v>
      </c>
      <c r="H46" s="32">
        <f>'MEMD 250'!D48</f>
        <v>15</v>
      </c>
      <c r="I46" s="32">
        <f>'MEMD 300'!D48</f>
        <v>15</v>
      </c>
      <c r="J46" s="32">
        <f>'MEMD 500'!D48</f>
        <v>15</v>
      </c>
      <c r="K46" s="50">
        <f>'MEMD 1000'!D48</f>
        <v>15</v>
      </c>
    </row>
    <row r="47" spans="2:11" x14ac:dyDescent="0.25">
      <c r="B47" s="62"/>
      <c r="C47" s="85"/>
      <c r="D47" s="32"/>
      <c r="E47" s="32"/>
      <c r="F47" s="32"/>
      <c r="G47" s="32"/>
      <c r="H47" s="32"/>
      <c r="I47" s="32"/>
      <c r="J47" s="32"/>
      <c r="K47" s="50"/>
    </row>
    <row r="48" spans="2:11" x14ac:dyDescent="0.25">
      <c r="B48" s="62" t="str">
        <f>'MEMD 50'!B50</f>
        <v>Stove Body Outside</v>
      </c>
      <c r="C48" s="85"/>
      <c r="D48" s="32"/>
      <c r="E48" s="32"/>
      <c r="F48" s="32"/>
      <c r="G48" s="32"/>
      <c r="H48" s="32"/>
      <c r="I48" s="32"/>
      <c r="J48" s="32"/>
      <c r="K48" s="50"/>
    </row>
    <row r="49" spans="2:11" x14ac:dyDescent="0.25">
      <c r="B49" s="9" t="str">
        <f>'MEMD 50'!C51</f>
        <v>Overall height including steel frame</v>
      </c>
      <c r="C49" s="85" t="str">
        <f>'MEMD 50'!I51</f>
        <v>H4</v>
      </c>
      <c r="D49" s="32">
        <f>'MEMD 50'!D51</f>
        <v>712.54442103031624</v>
      </c>
      <c r="E49" s="32">
        <f>'MEMD 100'!D51</f>
        <v>927.46441919953531</v>
      </c>
      <c r="F49" s="32">
        <f>'MEMD 150'!D51</f>
        <v>948.59903297713663</v>
      </c>
      <c r="G49" s="32">
        <f>'MEMD 200'!D51</f>
        <v>1005.3225974742577</v>
      </c>
      <c r="H49" s="32">
        <f>'MEMD 250'!D51</f>
        <v>1065.1939817094371</v>
      </c>
      <c r="I49" s="32">
        <f>'MEMD 300'!D51</f>
        <v>1125.4578270277675</v>
      </c>
      <c r="J49" s="32">
        <f>'MEMD 500'!D51</f>
        <v>1298.9858031094213</v>
      </c>
      <c r="K49" s="50">
        <f>'MEMD 1000'!D51</f>
        <v>1588.0725293405426</v>
      </c>
    </row>
    <row r="50" spans="2:11" x14ac:dyDescent="0.25">
      <c r="B50" s="9" t="str">
        <f>'MEMD 50'!C52</f>
        <v>Overall width</v>
      </c>
      <c r="C50" s="85" t="str">
        <f>'MEMD 50'!I52</f>
        <v>W3</v>
      </c>
      <c r="D50" s="32">
        <f>'MEMD 50'!D52</f>
        <v>972.5</v>
      </c>
      <c r="E50" s="32">
        <f>'MEMD 100'!D52</f>
        <v>1092.5</v>
      </c>
      <c r="F50" s="32">
        <f>'MEMD 150'!D52</f>
        <v>1177.5</v>
      </c>
      <c r="G50" s="32">
        <f>'MEMD 200'!D52</f>
        <v>1242.5</v>
      </c>
      <c r="H50" s="32">
        <f>'MEMD 250'!D52</f>
        <v>1300.5</v>
      </c>
      <c r="I50" s="32">
        <f>'MEMD 300'!D52</f>
        <v>1360.5</v>
      </c>
      <c r="J50" s="32">
        <f>'MEMD 500'!D52</f>
        <v>1504.5</v>
      </c>
      <c r="K50" s="50">
        <f>'MEMD 1000'!D52</f>
        <v>1752.5</v>
      </c>
    </row>
    <row r="51" spans="2:11" x14ac:dyDescent="0.25">
      <c r="B51" s="9" t="str">
        <f>'MEMD 50'!C53</f>
        <v>Overall length</v>
      </c>
      <c r="C51" s="85" t="str">
        <f>'MEMD 50'!I53</f>
        <v>L1</v>
      </c>
      <c r="D51" s="32">
        <f>'MEMD 50'!D53</f>
        <v>972.5</v>
      </c>
      <c r="E51" s="32">
        <f>'MEMD 100'!D53</f>
        <v>1092.5</v>
      </c>
      <c r="F51" s="32">
        <f>'MEMD 150'!D53</f>
        <v>1177.5</v>
      </c>
      <c r="G51" s="32">
        <f>'MEMD 200'!D53</f>
        <v>1242.5</v>
      </c>
      <c r="H51" s="32">
        <f>'MEMD 250'!D53</f>
        <v>1300.5</v>
      </c>
      <c r="I51" s="32">
        <f>'MEMD 300'!D53</f>
        <v>1360.5</v>
      </c>
      <c r="J51" s="32">
        <f>'MEMD 500'!D53</f>
        <v>1504.5</v>
      </c>
      <c r="K51" s="50">
        <f>'MEMD 1000'!D53</f>
        <v>1752.5</v>
      </c>
    </row>
    <row r="52" spans="2:11" x14ac:dyDescent="0.25">
      <c r="B52" s="9" t="str">
        <f>'MEMD 50'!C54</f>
        <v>Air passage under the fire floor, H</v>
      </c>
      <c r="C52" s="85" t="str">
        <f>'MEMD 50'!I54</f>
        <v>H5, H15?</v>
      </c>
      <c r="D52" s="32">
        <f>'MEMD 50'!D54</f>
        <v>101.19999999999999</v>
      </c>
      <c r="E52" s="32">
        <f>'MEMD 100'!D54</f>
        <v>101.19999999999999</v>
      </c>
      <c r="F52" s="32">
        <f>'MEMD 150'!D54</f>
        <v>106.19999999999999</v>
      </c>
      <c r="G52" s="32">
        <f>'MEMD 200'!D54</f>
        <v>106.19999999999999</v>
      </c>
      <c r="H52" s="32">
        <f>'MEMD 250'!D54</f>
        <v>106.19999999999999</v>
      </c>
      <c r="I52" s="32">
        <f>'MEMD 300'!D54</f>
        <v>108.85275792905911</v>
      </c>
      <c r="J52" s="32">
        <f>'MEMD 500'!D54</f>
        <v>129.42781549404114</v>
      </c>
      <c r="K52" s="50">
        <f>'MEMD 1000'!D54</f>
        <v>162.55682429952924</v>
      </c>
    </row>
    <row r="53" spans="2:11" x14ac:dyDescent="0.25">
      <c r="B53" s="9"/>
      <c r="C53" s="85"/>
      <c r="D53" s="32"/>
      <c r="E53" s="32"/>
      <c r="F53" s="32"/>
      <c r="G53" s="32"/>
      <c r="H53" s="32"/>
      <c r="I53" s="32"/>
      <c r="J53" s="32"/>
      <c r="K53" s="50"/>
    </row>
    <row r="54" spans="2:11" x14ac:dyDescent="0.25">
      <c r="B54" s="62" t="str">
        <f>'MEMD 50'!B56</f>
        <v>Primary air under the fuel shelf</v>
      </c>
      <c r="C54" s="85"/>
      <c r="D54" s="32"/>
      <c r="E54" s="32"/>
      <c r="F54" s="32"/>
      <c r="G54" s="32"/>
      <c r="H54" s="32"/>
      <c r="I54" s="32"/>
      <c r="J54" s="32"/>
      <c r="K54" s="50"/>
    </row>
    <row r="55" spans="2:11" x14ac:dyDescent="0.25">
      <c r="B55" s="9" t="str">
        <f>'MEMD 50'!C57</f>
        <v>Air tunnel height</v>
      </c>
      <c r="C55" s="85" t="str">
        <f>'MEMD 50'!I57</f>
        <v>H15</v>
      </c>
      <c r="D55" s="32">
        <f>'MEMD 50'!D57</f>
        <v>101.19999999999999</v>
      </c>
      <c r="E55" s="32">
        <f>'MEMD 100'!D57</f>
        <v>101.19999999999999</v>
      </c>
      <c r="F55" s="32">
        <f>'MEMD 150'!D57</f>
        <v>106.19999999999999</v>
      </c>
      <c r="G55" s="32">
        <f>'MEMD 200'!D57</f>
        <v>106.19999999999999</v>
      </c>
      <c r="H55" s="32">
        <f>'MEMD 250'!D57</f>
        <v>106.19999999999999</v>
      </c>
      <c r="I55" s="32">
        <f>'MEMD 300'!D57</f>
        <v>108.85275792905911</v>
      </c>
      <c r="J55" s="32">
        <f>'MEMD 500'!D57</f>
        <v>129.42781549404114</v>
      </c>
      <c r="K55" s="50">
        <f>'MEMD 1000'!D57</f>
        <v>162.55682429952924</v>
      </c>
    </row>
    <row r="56" spans="2:11" x14ac:dyDescent="0.25">
      <c r="B56" s="9" t="str">
        <f>'MEMD 50'!C58</f>
        <v xml:space="preserve"> </v>
      </c>
      <c r="C56" s="85" t="str">
        <f>'MEMD 50'!I58</f>
        <v>W12</v>
      </c>
      <c r="D56" s="32">
        <f>'MEMD 50'!D58</f>
        <v>151.64001440432619</v>
      </c>
      <c r="E56" s="32">
        <f>'MEMD 100'!D58</f>
        <v>193.36604054762694</v>
      </c>
      <c r="F56" s="32">
        <f>'MEMD 150'!D58</f>
        <v>223.85207738160048</v>
      </c>
      <c r="G56" s="32">
        <f>'MEMD 200'!D58</f>
        <v>245.49492977688882</v>
      </c>
      <c r="H56" s="32">
        <f>'MEMD 250'!D58</f>
        <v>265.64656281468308</v>
      </c>
      <c r="I56" s="32">
        <f>'MEMD 300'!D58</f>
        <v>283.01717061555371</v>
      </c>
      <c r="J56" s="32">
        <f>'MEMD 500'!D58</f>
        <v>336.51232028450698</v>
      </c>
      <c r="K56" s="50">
        <f>'MEMD 1000'!D58</f>
        <v>422.64774317877607</v>
      </c>
    </row>
    <row r="57" spans="2:11" x14ac:dyDescent="0.25">
      <c r="B57" s="9" t="str">
        <f>'MEMD 50'!C59</f>
        <v>Air tunnel length</v>
      </c>
      <c r="C57" s="85" t="str">
        <f>'MEMD 50'!I59</f>
        <v>D7</v>
      </c>
      <c r="D57" s="32">
        <f>'MEMD 50'!D59</f>
        <v>562.07000720216308</v>
      </c>
      <c r="E57" s="32">
        <f>'MEMD 100'!D59</f>
        <v>642.93302027381355</v>
      </c>
      <c r="F57" s="32">
        <f>'MEMD 150'!D59</f>
        <v>700.67603869080028</v>
      </c>
      <c r="G57" s="32">
        <f>'MEMD 200'!D59</f>
        <v>743.99746488844437</v>
      </c>
      <c r="H57" s="32">
        <f>'MEMD 250'!D59</f>
        <v>783.0732814073416</v>
      </c>
      <c r="I57" s="32">
        <f>'MEMD 300'!D59</f>
        <v>821.7585853077768</v>
      </c>
      <c r="J57" s="32">
        <f>'MEMD 500'!D59</f>
        <v>920.50616014225352</v>
      </c>
      <c r="K57" s="50">
        <f>'MEMD 1000'!D59</f>
        <v>1087.5738715893881</v>
      </c>
    </row>
    <row r="58" spans="2:11" x14ac:dyDescent="0.25">
      <c r="B58" s="9" t="str">
        <f>'MEMD 50'!C60</f>
        <v>Gap between the U-channels</v>
      </c>
      <c r="C58" s="85" t="str">
        <f>'MEMD 50'!I60</f>
        <v>L15</v>
      </c>
      <c r="D58" s="32">
        <f>'MEMD 50'!D60</f>
        <v>15</v>
      </c>
      <c r="E58" s="32">
        <f>'MEMD 100'!D60</f>
        <v>15</v>
      </c>
      <c r="F58" s="32">
        <f>'MEMD 150'!D60</f>
        <v>15</v>
      </c>
      <c r="G58" s="32">
        <f>'MEMD 200'!D60</f>
        <v>15</v>
      </c>
      <c r="H58" s="32">
        <f>'MEMD 250'!D60</f>
        <v>15</v>
      </c>
      <c r="I58" s="32">
        <f>'MEMD 300'!D60</f>
        <v>15</v>
      </c>
      <c r="J58" s="32">
        <f>'MEMD 500'!D60</f>
        <v>15</v>
      </c>
      <c r="K58" s="50">
        <f>'MEMD 1000'!D60</f>
        <v>15</v>
      </c>
    </row>
    <row r="59" spans="2:11" x14ac:dyDescent="0.25">
      <c r="B59" s="9" t="str">
        <f>'MEMD 50'!C61</f>
        <v>Cavity for fuel shelf U-channels, width</v>
      </c>
      <c r="C59" s="85" t="str">
        <f>'MEMD 50'!I61</f>
        <v>W13</v>
      </c>
      <c r="D59" s="32">
        <f>'MEMD 50'!D61</f>
        <v>334</v>
      </c>
      <c r="E59" s="32">
        <f>'MEMD 100'!D61</f>
        <v>374</v>
      </c>
      <c r="F59" s="32">
        <f>'MEMD 150'!D61</f>
        <v>374</v>
      </c>
      <c r="G59" s="32">
        <f>'MEMD 200'!D61</f>
        <v>374</v>
      </c>
      <c r="H59" s="32">
        <f>'MEMD 250'!D61</f>
        <v>374</v>
      </c>
      <c r="I59" s="32">
        <f>'MEMD 300'!D61</f>
        <v>374</v>
      </c>
      <c r="J59" s="32">
        <f>'MEMD 500'!D61</f>
        <v>374</v>
      </c>
      <c r="K59" s="50">
        <f>'MEMD 1000'!D61</f>
        <v>374</v>
      </c>
    </row>
    <row r="60" spans="2:11" x14ac:dyDescent="0.25">
      <c r="B60" s="62"/>
      <c r="C60" s="85"/>
      <c r="D60" s="32"/>
      <c r="E60" s="32"/>
      <c r="F60" s="32"/>
      <c r="G60" s="32"/>
      <c r="H60" s="32"/>
      <c r="I60" s="32"/>
      <c r="J60" s="32"/>
      <c r="K60" s="50"/>
    </row>
    <row r="61" spans="2:11" x14ac:dyDescent="0.25">
      <c r="B61" s="62" t="str">
        <f>'MEMD 50'!B63</f>
        <v xml:space="preserve">Fuel tunnel </v>
      </c>
      <c r="C61" s="85"/>
      <c r="D61" s="32"/>
      <c r="E61" s="32"/>
      <c r="F61" s="32"/>
      <c r="G61" s="32"/>
      <c r="H61" s="32"/>
      <c r="I61" s="32"/>
      <c r="J61" s="32"/>
      <c r="K61" s="50"/>
    </row>
    <row r="62" spans="2:11" x14ac:dyDescent="0.25">
      <c r="B62" s="9" t="str">
        <f>'MEMD 50'!C64</f>
        <v>Number of U-channels forming the roof</v>
      </c>
      <c r="C62" s="85">
        <f>'MEMD 50'!I64</f>
        <v>0</v>
      </c>
      <c r="D62" s="32">
        <f>'MEMD 50'!D64</f>
        <v>2.1</v>
      </c>
      <c r="E62" s="32">
        <f>'MEMD 100'!D64</f>
        <v>2.4</v>
      </c>
      <c r="F62" s="32">
        <f>'MEMD 150'!D64</f>
        <v>2.6</v>
      </c>
      <c r="G62" s="32">
        <f>'MEMD 200'!D64</f>
        <v>2.8</v>
      </c>
      <c r="H62" s="32">
        <f>'MEMD 250'!D64</f>
        <v>2.9</v>
      </c>
      <c r="I62" s="32">
        <f>'MEMD 300'!D64</f>
        <v>3.1</v>
      </c>
      <c r="J62" s="32">
        <f>'MEMD 500'!D64</f>
        <v>3.4</v>
      </c>
      <c r="K62" s="50">
        <f>'MEMD 1000'!D64</f>
        <v>4</v>
      </c>
    </row>
    <row r="63" spans="2:11" x14ac:dyDescent="0.25">
      <c r="B63" s="9" t="str">
        <f>'MEMD 50'!C65</f>
        <v>Number of Grate Bricks forming the floor</v>
      </c>
      <c r="C63" s="85">
        <f>'MEMD 50'!I65</f>
        <v>0</v>
      </c>
      <c r="D63" s="32">
        <f>'MEMD 50'!D65</f>
        <v>7</v>
      </c>
      <c r="E63" s="32">
        <f>'MEMD 100'!D65</f>
        <v>5</v>
      </c>
      <c r="F63" s="32">
        <f>'MEMD 150'!D65</f>
        <v>5</v>
      </c>
      <c r="G63" s="32">
        <f>'MEMD 200'!D65</f>
        <v>6</v>
      </c>
      <c r="H63" s="32">
        <f>'MEMD 250'!D65</f>
        <v>6</v>
      </c>
      <c r="I63" s="32">
        <f>'MEMD 300'!D65</f>
        <v>6</v>
      </c>
      <c r="J63" s="32">
        <f>'MEMD 500'!D65</f>
        <v>7</v>
      </c>
      <c r="K63" s="50">
        <f>'MEMD 1000'!D65</f>
        <v>8</v>
      </c>
    </row>
    <row r="64" spans="2:11" x14ac:dyDescent="0.25">
      <c r="B64" s="9" t="str">
        <f>'MEMD 50'!C66</f>
        <v>Fuel tunnel floor length to the far end</v>
      </c>
      <c r="C64" s="85">
        <f>'MEMD 50'!I66</f>
        <v>0</v>
      </c>
      <c r="D64" s="32">
        <f>'MEMD 50'!D66</f>
        <v>562.07000720216308</v>
      </c>
      <c r="E64" s="32">
        <f>'MEMD 100'!D66</f>
        <v>642.93302027381355</v>
      </c>
      <c r="F64" s="32">
        <f>'MEMD 150'!D66</f>
        <v>700.67603869080028</v>
      </c>
      <c r="G64" s="32">
        <f>'MEMD 200'!D66</f>
        <v>743.99746488844437</v>
      </c>
      <c r="H64" s="32">
        <f>'MEMD 250'!D66</f>
        <v>783.0732814073416</v>
      </c>
      <c r="I64" s="32">
        <f>'MEMD 300'!D66</f>
        <v>821.7585853077768</v>
      </c>
      <c r="J64" s="32">
        <f>'MEMD 500'!D66</f>
        <v>920.50616014225352</v>
      </c>
      <c r="K64" s="50">
        <f>'MEMD 1000'!D66</f>
        <v>1087.5738715893881</v>
      </c>
    </row>
    <row r="65" spans="2:11" x14ac:dyDescent="0.25">
      <c r="B65" s="9" t="str">
        <f>'MEMD 50'!C67</f>
        <v>Fuel tunnel roof length to the opening</v>
      </c>
      <c r="C65" s="85">
        <f>'MEMD 50'!I67</f>
        <v>0</v>
      </c>
      <c r="D65" s="32">
        <f>'MEMD 50'!D67</f>
        <v>410.42999279783692</v>
      </c>
      <c r="E65" s="32">
        <f>'MEMD 100'!D67</f>
        <v>449.5669797261865</v>
      </c>
      <c r="F65" s="32">
        <f>'MEMD 150'!D67</f>
        <v>476.82396130919983</v>
      </c>
      <c r="G65" s="32">
        <f>'MEMD 200'!D67</f>
        <v>498.50253511155552</v>
      </c>
      <c r="H65" s="32">
        <f>'MEMD 250'!D67</f>
        <v>517.4267185926584</v>
      </c>
      <c r="I65" s="32">
        <f>'MEMD 300'!D67</f>
        <v>538.7414146922232</v>
      </c>
      <c r="J65" s="32">
        <f>'MEMD 500'!D67</f>
        <v>583.99383985774648</v>
      </c>
      <c r="K65" s="50">
        <f>'MEMD 1000'!D67</f>
        <v>664.92612841061202</v>
      </c>
    </row>
    <row r="66" spans="2:11" x14ac:dyDescent="0.25">
      <c r="B66" s="9" t="str">
        <f>'MEMD 50'!C68</f>
        <v>Fuel feed hole width</v>
      </c>
      <c r="C66" s="85" t="str">
        <f>'MEMD 50'!I68</f>
        <v>W11</v>
      </c>
      <c r="D66" s="32">
        <f>'MEMD 50'!D68</f>
        <v>151.64001440432619</v>
      </c>
      <c r="E66" s="32">
        <f>'MEMD 100'!D68</f>
        <v>193.36604054762694</v>
      </c>
      <c r="F66" s="32">
        <f>'MEMD 150'!D68</f>
        <v>223.85207738160048</v>
      </c>
      <c r="G66" s="32">
        <f>'MEMD 200'!D68</f>
        <v>245.49492977688882</v>
      </c>
      <c r="H66" s="32">
        <f>'MEMD 250'!D68</f>
        <v>265.64656281468308</v>
      </c>
      <c r="I66" s="32">
        <f>'MEMD 300'!D68</f>
        <v>283.01717061555371</v>
      </c>
      <c r="J66" s="32">
        <f>'MEMD 500'!D68</f>
        <v>336.51232028450698</v>
      </c>
      <c r="K66" s="50">
        <f>'MEMD 1000'!D68</f>
        <v>422.64774317877607</v>
      </c>
    </row>
    <row r="67" spans="2:11" x14ac:dyDescent="0.25">
      <c r="B67" s="9" t="str">
        <f>'MEMD 50'!C69</f>
        <v>Fuel feed hole height</v>
      </c>
      <c r="C67" s="85" t="str">
        <f>'MEMD 50'!I69</f>
        <v>H14</v>
      </c>
      <c r="D67" s="32">
        <f>'MEMD 50'!D69</f>
        <v>101.59880965089856</v>
      </c>
      <c r="E67" s="32">
        <f>'MEMD 100'!D69</f>
        <v>129.55524716691005</v>
      </c>
      <c r="F67" s="32">
        <f>'MEMD 150'!D69</f>
        <v>149.98089184567232</v>
      </c>
      <c r="G67" s="32">
        <f>'MEMD 200'!D69</f>
        <v>164.48160295051551</v>
      </c>
      <c r="H67" s="32">
        <f>'MEMD 250'!D69</f>
        <v>177.98319708583767</v>
      </c>
      <c r="I67" s="32">
        <f>'MEMD 300'!D69</f>
        <v>189.621504312421</v>
      </c>
      <c r="J67" s="32">
        <f>'MEMD 500'!D69</f>
        <v>225.4632545906197</v>
      </c>
      <c r="K67" s="50">
        <f>'MEMD 1000'!D69</f>
        <v>283.17398792977997</v>
      </c>
    </row>
    <row r="68" spans="2:11" x14ac:dyDescent="0.25">
      <c r="B68" s="9"/>
      <c r="C68" s="85"/>
      <c r="D68" s="32"/>
      <c r="E68" s="32"/>
      <c r="F68" s="32"/>
      <c r="G68" s="32"/>
      <c r="H68" s="32"/>
      <c r="I68" s="32"/>
      <c r="J68" s="32"/>
      <c r="K68" s="50"/>
    </row>
    <row r="69" spans="2:11" x14ac:dyDescent="0.25">
      <c r="B69" s="62" t="str">
        <f>'MEMD 50'!B71</f>
        <v>Lower body</v>
      </c>
      <c r="C69" s="85"/>
      <c r="D69" s="32"/>
      <c r="E69" s="32"/>
      <c r="F69" s="32"/>
      <c r="G69" s="32"/>
      <c r="H69" s="32"/>
      <c r="I69" s="32"/>
      <c r="J69" s="32"/>
      <c r="K69" s="50"/>
    </row>
    <row r="70" spans="2:11" x14ac:dyDescent="0.25">
      <c r="B70" s="9" t="str">
        <f>'MEMD 50'!C72</f>
        <v>Lower body floor to pot deck</v>
      </c>
      <c r="C70" s="85" t="str">
        <f>'MEMD 50'!I72</f>
        <v>H8</v>
      </c>
      <c r="D70" s="32">
        <f>'MEMD 50'!D72</f>
        <v>274.46842607183044</v>
      </c>
      <c r="E70" s="32">
        <f>'MEMD 100'!D72</f>
        <v>431.9925333912048</v>
      </c>
      <c r="F70" s="32">
        <f>'MEMD 150'!D72</f>
        <v>405.17226006069689</v>
      </c>
      <c r="G70" s="32">
        <f>'MEMD 200'!D72</f>
        <v>444.34582289616878</v>
      </c>
      <c r="H70" s="32">
        <f>'MEMD 250'!D72</f>
        <v>480.82027869457636</v>
      </c>
      <c r="I70" s="32">
        <f>'MEMD 300'!D72</f>
        <v>512.26107881415214</v>
      </c>
      <c r="J70" s="32">
        <f>'MEMD 500'!D72</f>
        <v>609.08729971495768</v>
      </c>
      <c r="K70" s="50">
        <f>'MEMD 1000'!D72</f>
        <v>764.99241515358472</v>
      </c>
    </row>
    <row r="71" spans="2:11" x14ac:dyDescent="0.25">
      <c r="B71" s="9" t="str">
        <f>'MEMD 50'!C73</f>
        <v>Lower body incl ash channel</v>
      </c>
      <c r="C71" s="85" t="str">
        <f>'MEMD 50'!I73</f>
        <v>H9</v>
      </c>
      <c r="D71" s="32">
        <f>'MEMD 50'!D73</f>
        <v>375.66842607183042</v>
      </c>
      <c r="E71" s="32">
        <f>'MEMD 100'!D73</f>
        <v>533.19253339120473</v>
      </c>
      <c r="F71" s="32">
        <f>'MEMD 150'!D73</f>
        <v>511.37226006069687</v>
      </c>
      <c r="G71" s="32">
        <f>'MEMD 200'!D73</f>
        <v>550.54582289616883</v>
      </c>
      <c r="H71" s="32">
        <f>'MEMD 250'!D73</f>
        <v>587.02027869457629</v>
      </c>
      <c r="I71" s="32">
        <f>'MEMD 300'!D73</f>
        <v>621.11383674321121</v>
      </c>
      <c r="J71" s="32">
        <f>'MEMD 500'!D73</f>
        <v>738.51511520899885</v>
      </c>
      <c r="K71" s="50">
        <f>'MEMD 1000'!D73</f>
        <v>927.54923945311396</v>
      </c>
    </row>
    <row r="72" spans="2:11" x14ac:dyDescent="0.25">
      <c r="B72" s="9"/>
      <c r="C72" s="85"/>
      <c r="D72" s="32"/>
      <c r="E72" s="32"/>
      <c r="F72" s="32"/>
      <c r="G72" s="32"/>
      <c r="H72" s="32"/>
      <c r="I72" s="32"/>
      <c r="J72" s="32"/>
      <c r="K72" s="50"/>
    </row>
    <row r="73" spans="2:11" x14ac:dyDescent="0.25">
      <c r="B73" s="62" t="str">
        <f>'MEMD 50'!B75</f>
        <v>Upper Combustion zone</v>
      </c>
      <c r="C73" s="85"/>
      <c r="D73" s="32"/>
      <c r="E73" s="32"/>
      <c r="F73" s="32"/>
      <c r="G73" s="32"/>
      <c r="H73" s="32"/>
      <c r="I73" s="32"/>
      <c r="J73" s="32"/>
      <c r="K73" s="50"/>
    </row>
    <row r="74" spans="2:11" x14ac:dyDescent="0.25">
      <c r="B74" s="9" t="str">
        <f>'MEMD 50'!C76</f>
        <v>Heat Flow rate across area</v>
      </c>
      <c r="C74" s="85">
        <f>'MEMD 50'!I76</f>
        <v>0</v>
      </c>
      <c r="D74" s="32">
        <f>'MEMD 50'!D76</f>
        <v>65</v>
      </c>
      <c r="E74" s="32">
        <f>'MEMD 100'!D76</f>
        <v>65</v>
      </c>
      <c r="F74" s="32">
        <f>'MEMD 150'!D76</f>
        <v>65</v>
      </c>
      <c r="G74" s="32">
        <f>'MEMD 200'!D76</f>
        <v>65</v>
      </c>
      <c r="H74" s="32">
        <f>'MEMD 250'!D76</f>
        <v>65</v>
      </c>
      <c r="I74" s="32">
        <f>'MEMD 300'!D76</f>
        <v>65</v>
      </c>
      <c r="J74" s="32">
        <f>'MEMD 500'!D76</f>
        <v>65</v>
      </c>
      <c r="K74" s="50">
        <f>'MEMD 1000'!D76</f>
        <v>65</v>
      </c>
    </row>
    <row r="75" spans="2:11" x14ac:dyDescent="0.25">
      <c r="B75" s="9" t="str">
        <f>'MEMD 50'!C77</f>
        <v>Upper chamber Width</v>
      </c>
      <c r="C75" s="85" t="str">
        <f>'MEMD 50'!I77</f>
        <v>W10</v>
      </c>
      <c r="D75" s="32">
        <f>'MEMD 50'!D77</f>
        <v>151.64001440432619</v>
      </c>
      <c r="E75" s="32">
        <f>'MEMD 100'!D77</f>
        <v>193.36604054762694</v>
      </c>
      <c r="F75" s="32">
        <f>'MEMD 150'!D77</f>
        <v>223.85207738160048</v>
      </c>
      <c r="G75" s="32">
        <f>'MEMD 200'!D77</f>
        <v>245.49492977688882</v>
      </c>
      <c r="H75" s="32">
        <f>'MEMD 250'!D77</f>
        <v>265.64656281468308</v>
      </c>
      <c r="I75" s="32">
        <f>'MEMD 300'!D77</f>
        <v>283.01717061555371</v>
      </c>
      <c r="J75" s="32">
        <f>'MEMD 500'!D77</f>
        <v>336.51232028450698</v>
      </c>
      <c r="K75" s="50">
        <f>'MEMD 1000'!D77</f>
        <v>422.64774317877607</v>
      </c>
    </row>
    <row r="76" spans="2:11" x14ac:dyDescent="0.25">
      <c r="B76" s="9" t="str">
        <f>'MEMD 50'!C79</f>
        <v>Upper combustion chamber height</v>
      </c>
      <c r="C76" s="85" t="str">
        <f>'MEMD 50'!I79</f>
        <v>H12</v>
      </c>
      <c r="D76" s="32">
        <f>'MEMD 50'!D79</f>
        <v>119.79561137941769</v>
      </c>
      <c r="E76" s="32">
        <f>'MEMD 100'!D79</f>
        <v>234.75917203262529</v>
      </c>
      <c r="F76" s="32">
        <f>'MEMD 150'!D79</f>
        <v>176.84314113146439</v>
      </c>
      <c r="G76" s="32">
        <f>'MEMD 200'!D79</f>
        <v>193.94099452374218</v>
      </c>
      <c r="H76" s="32">
        <f>'MEMD 250'!D79</f>
        <v>209.86078462359964</v>
      </c>
      <c r="I76" s="32">
        <f>'MEMD 300'!D79</f>
        <v>223.58356478628744</v>
      </c>
      <c r="J76" s="32">
        <f>'MEMD 500'!D79</f>
        <v>265.84473302476056</v>
      </c>
      <c r="K76" s="50">
        <f>'MEMD 1000'!D79</f>
        <v>333.89171711123311</v>
      </c>
    </row>
    <row r="77" spans="2:11" x14ac:dyDescent="0.25">
      <c r="B77" s="9" t="str">
        <f>'MEMD 50'!C80</f>
        <v>Upper combustion chamber length</v>
      </c>
      <c r="C77" s="85" t="str">
        <f>'MEMD 50'!I80</f>
        <v>L13</v>
      </c>
      <c r="D77" s="32">
        <f>'MEMD 50'!D80</f>
        <v>151.64001440432619</v>
      </c>
      <c r="E77" s="32">
        <f>'MEMD 100'!D80</f>
        <v>193.36604054762694</v>
      </c>
      <c r="F77" s="32">
        <f>'MEMD 150'!D80</f>
        <v>223.85207738160048</v>
      </c>
      <c r="G77" s="32">
        <f>'MEMD 200'!D80</f>
        <v>245.49492977688882</v>
      </c>
      <c r="H77" s="32">
        <f>'MEMD 250'!D80</f>
        <v>265.64656281468308</v>
      </c>
      <c r="I77" s="32">
        <f>'MEMD 300'!D80</f>
        <v>283.01717061555371</v>
      </c>
      <c r="J77" s="32">
        <f>'MEMD 500'!D80</f>
        <v>336.51232028450698</v>
      </c>
      <c r="K77" s="50">
        <f>'MEMD 1000'!D80</f>
        <v>422.64774317877607</v>
      </c>
    </row>
    <row r="78" spans="2:11" x14ac:dyDescent="0.25">
      <c r="B78" s="9" t="str">
        <f>'MEMD 50'!C81</f>
        <v>Lower combustion chamber height</v>
      </c>
      <c r="C78" s="85" t="str">
        <f>'MEMD 50'!I81</f>
        <v>H13</v>
      </c>
      <c r="D78" s="32">
        <f>'MEMD 50'!D81</f>
        <v>101.59880965089856</v>
      </c>
      <c r="E78" s="32">
        <f>'MEMD 100'!D81</f>
        <v>129.55524716691005</v>
      </c>
      <c r="F78" s="32">
        <f>'MEMD 150'!D81</f>
        <v>149.98089184567232</v>
      </c>
      <c r="G78" s="32">
        <f>'MEMD 200'!D81</f>
        <v>164.48160295051551</v>
      </c>
      <c r="H78" s="32">
        <f>'MEMD 250'!D81</f>
        <v>177.98319708583767</v>
      </c>
      <c r="I78" s="32">
        <f>'MEMD 300'!D81</f>
        <v>189.621504312421</v>
      </c>
      <c r="J78" s="32">
        <f>'MEMD 500'!D81</f>
        <v>225.4632545906197</v>
      </c>
      <c r="K78" s="50">
        <f>'MEMD 1000'!D81</f>
        <v>283.17398792977997</v>
      </c>
    </row>
    <row r="79" spans="2:11" x14ac:dyDescent="0.25">
      <c r="B79" s="9"/>
      <c r="C79" s="85"/>
      <c r="D79" s="32"/>
      <c r="E79" s="32"/>
      <c r="F79" s="32"/>
      <c r="G79" s="32"/>
      <c r="H79" s="32"/>
      <c r="I79" s="32"/>
      <c r="J79" s="32"/>
      <c r="K79" s="50"/>
    </row>
    <row r="80" spans="2:11" x14ac:dyDescent="0.25">
      <c r="B80" s="62" t="str">
        <f>'MEMD 50'!B83</f>
        <v>Upper body</v>
      </c>
      <c r="C80" s="85"/>
      <c r="D80" s="32"/>
      <c r="E80" s="32"/>
      <c r="F80" s="32"/>
      <c r="G80" s="32"/>
      <c r="H80" s="32"/>
      <c r="I80" s="32"/>
      <c r="J80" s="32"/>
      <c r="K80" s="50"/>
    </row>
    <row r="81" spans="2:13" x14ac:dyDescent="0.25">
      <c r="B81" s="9" t="str">
        <f>'MEMD 50'!C84</f>
        <v>Pot to body gap each side</v>
      </c>
      <c r="C81" s="85" t="str">
        <f>'MEMD 50'!I84</f>
        <v>T4</v>
      </c>
      <c r="D81" s="32">
        <f>'MEMD 50'!D84</f>
        <v>40</v>
      </c>
      <c r="E81" s="32">
        <f>'MEMD 100'!D84</f>
        <v>40</v>
      </c>
      <c r="F81" s="32">
        <f>'MEMD 150'!D84</f>
        <v>40</v>
      </c>
      <c r="G81" s="32">
        <f>'MEMD 200'!D84</f>
        <v>40</v>
      </c>
      <c r="H81" s="32">
        <f>'MEMD 250'!D84</f>
        <v>40</v>
      </c>
      <c r="I81" s="32">
        <f>'MEMD 300'!D84</f>
        <v>40</v>
      </c>
      <c r="J81" s="32">
        <f>'MEMD 500'!D84</f>
        <v>40</v>
      </c>
      <c r="K81" s="50">
        <f>'MEMD 1000'!D84</f>
        <v>40</v>
      </c>
    </row>
    <row r="82" spans="2:13" x14ac:dyDescent="0.25">
      <c r="B82" s="9" t="str">
        <f>'MEMD 50'!C85</f>
        <v>Upper body cavity inside diameter</v>
      </c>
      <c r="C82" s="85" t="str">
        <f>'MEMD 50'!I85</f>
        <v>D3</v>
      </c>
      <c r="D82" s="32">
        <f>'MEMD 50'!D85</f>
        <v>544</v>
      </c>
      <c r="E82" s="32">
        <f>'MEMD 100'!D85</f>
        <v>664</v>
      </c>
      <c r="F82" s="32">
        <f>'MEMD 150'!D85</f>
        <v>749</v>
      </c>
      <c r="G82" s="32">
        <f>'MEMD 200'!D85</f>
        <v>814</v>
      </c>
      <c r="H82" s="32">
        <f>'MEMD 250'!D85</f>
        <v>872</v>
      </c>
      <c r="I82" s="32">
        <f>'MEMD 300'!D85</f>
        <v>922</v>
      </c>
      <c r="J82" s="32">
        <f>'MEMD 500'!D85</f>
        <v>1076</v>
      </c>
      <c r="K82" s="50">
        <f>'MEMD 1000'!D85</f>
        <v>1324</v>
      </c>
    </row>
    <row r="83" spans="2:13" x14ac:dyDescent="0.25">
      <c r="B83" s="9" t="str">
        <f>'MEMD 50'!C86</f>
        <v>Upper body cavity depth</v>
      </c>
      <c r="C83" s="85" t="str">
        <f>'MEMD 50'!I86</f>
        <v>H6</v>
      </c>
      <c r="D83" s="32">
        <f>'MEMD 50'!D86</f>
        <v>313.95</v>
      </c>
      <c r="E83" s="32">
        <f>'MEMD 100'!D86</f>
        <v>376.95</v>
      </c>
      <c r="F83" s="32">
        <f>'MEMD 150'!D86</f>
        <v>427.57499999999993</v>
      </c>
      <c r="G83" s="32">
        <f>'MEMD 200'!D86</f>
        <v>455.7</v>
      </c>
      <c r="H83" s="32">
        <f>'MEMD 250'!D86</f>
        <v>486.14999999999992</v>
      </c>
      <c r="I83" s="32">
        <f>'MEMD 300'!D86</f>
        <v>512.39999999999986</v>
      </c>
      <c r="J83" s="32">
        <f>'MEMD 500'!D86</f>
        <v>593.25</v>
      </c>
      <c r="K83" s="50">
        <f>'MEMD 1000'!D86</f>
        <v>723.45</v>
      </c>
    </row>
    <row r="84" spans="2:13" x14ac:dyDescent="0.25">
      <c r="B84" s="9" t="str">
        <f>'MEMD 50'!C87</f>
        <v>Upper body width</v>
      </c>
      <c r="C84" s="85" t="str">
        <f>'MEMD 50'!I87</f>
        <v>W4</v>
      </c>
      <c r="D84" s="32">
        <f>'MEMD 50'!D87</f>
        <v>972.5</v>
      </c>
      <c r="E84" s="32">
        <f>'MEMD 100'!D87</f>
        <v>1092.5</v>
      </c>
      <c r="F84" s="32">
        <f>'MEMD 150'!D87</f>
        <v>1177.5</v>
      </c>
      <c r="G84" s="32">
        <f>'MEMD 200'!D87</f>
        <v>1242.5</v>
      </c>
      <c r="H84" s="32">
        <f>'MEMD 250'!D87</f>
        <v>1300.5</v>
      </c>
      <c r="I84" s="32">
        <f>'MEMD 300'!D87</f>
        <v>1360.5</v>
      </c>
      <c r="J84" s="32">
        <f>'MEMD 500'!D87</f>
        <v>1504.5</v>
      </c>
      <c r="K84" s="50">
        <f>'MEMD 1000'!D87</f>
        <v>1752.5</v>
      </c>
    </row>
    <row r="85" spans="2:13" x14ac:dyDescent="0.25">
      <c r="B85" s="9" t="str">
        <f>'MEMD 50'!C88</f>
        <v>Upper body length</v>
      </c>
      <c r="C85" s="85" t="str">
        <f>'MEMD 50'!I88</f>
        <v>L2</v>
      </c>
      <c r="D85" s="32">
        <f>'MEMD 50'!D88</f>
        <v>972.5</v>
      </c>
      <c r="E85" s="32">
        <f>'MEMD 100'!D88</f>
        <v>1092.5</v>
      </c>
      <c r="F85" s="32">
        <f>'MEMD 150'!D88</f>
        <v>1177.5</v>
      </c>
      <c r="G85" s="32">
        <f>'MEMD 200'!D88</f>
        <v>1242.5</v>
      </c>
      <c r="H85" s="32">
        <f>'MEMD 250'!D88</f>
        <v>1300.5</v>
      </c>
      <c r="I85" s="32">
        <f>'MEMD 300'!D88</f>
        <v>1360.5</v>
      </c>
      <c r="J85" s="32">
        <f>'MEMD 500'!D88</f>
        <v>1504.5</v>
      </c>
      <c r="K85" s="50">
        <f>'MEMD 1000'!D88</f>
        <v>1752.5</v>
      </c>
    </row>
    <row r="86" spans="2:13" x14ac:dyDescent="0.25">
      <c r="B86" s="9" t="str">
        <f>'MEMD 50'!C89</f>
        <v>Upper body height</v>
      </c>
      <c r="C86" s="85" t="str">
        <f>'MEMD 50'!I89</f>
        <v>H7</v>
      </c>
      <c r="D86" s="32">
        <f>'MEMD 50'!D89</f>
        <v>313.95</v>
      </c>
      <c r="E86" s="32">
        <f>'MEMD 100'!D89</f>
        <v>376.95</v>
      </c>
      <c r="F86" s="32">
        <f>'MEMD 150'!D89</f>
        <v>427.57499999999993</v>
      </c>
      <c r="G86" s="32">
        <f>'MEMD 200'!D89</f>
        <v>455.7</v>
      </c>
      <c r="H86" s="32">
        <f>'MEMD 250'!D89</f>
        <v>486.14999999999992</v>
      </c>
      <c r="I86" s="32">
        <f>'MEMD 300'!D89</f>
        <v>512.39999999999986</v>
      </c>
      <c r="J86" s="32">
        <f>'MEMD 500'!D89</f>
        <v>593.25</v>
      </c>
      <c r="K86" s="50">
        <f>'MEMD 1000'!D89</f>
        <v>723.45</v>
      </c>
    </row>
    <row r="87" spans="2:13" x14ac:dyDescent="0.25">
      <c r="B87" s="9" t="str">
        <f>'MEMD 50'!C90</f>
        <v>Upper body minimum wall thickness</v>
      </c>
      <c r="C87" s="85" t="str">
        <f>'MEMD 50'!I90</f>
        <v>W3.1</v>
      </c>
      <c r="D87" s="32">
        <f>'MEMD 50'!D90</f>
        <v>214.25</v>
      </c>
      <c r="E87" s="32">
        <f>'MEMD 100'!D90</f>
        <v>214.25</v>
      </c>
      <c r="F87" s="32">
        <f>'MEMD 150'!D90</f>
        <v>214.25</v>
      </c>
      <c r="G87" s="32">
        <f>'MEMD 200'!D90</f>
        <v>214.25</v>
      </c>
      <c r="H87" s="32">
        <f>'MEMD 250'!D90</f>
        <v>214.25</v>
      </c>
      <c r="I87" s="32">
        <f>'MEMD 300'!D90</f>
        <v>219.25</v>
      </c>
      <c r="J87" s="32">
        <f>'MEMD 500'!D90</f>
        <v>214.25</v>
      </c>
      <c r="K87" s="50">
        <f>'MEMD 1000'!D90</f>
        <v>214.25</v>
      </c>
    </row>
    <row r="88" spans="2:13" x14ac:dyDescent="0.25">
      <c r="B88" s="9"/>
      <c r="C88" s="85"/>
      <c r="D88" s="32"/>
      <c r="E88" s="32"/>
      <c r="F88" s="32"/>
      <c r="G88" s="32"/>
      <c r="H88" s="32"/>
      <c r="I88" s="32"/>
      <c r="J88" s="32"/>
      <c r="K88" s="50"/>
    </row>
    <row r="89" spans="2:13" x14ac:dyDescent="0.25">
      <c r="B89" s="62" t="str">
        <f>'MEMD 50'!B92</f>
        <v>Heat Exchanger</v>
      </c>
      <c r="C89" s="85"/>
      <c r="D89" s="32"/>
      <c r="E89" s="32"/>
      <c r="F89" s="32"/>
      <c r="G89" s="32"/>
      <c r="H89" s="32"/>
      <c r="I89" s="32"/>
      <c r="J89" s="32"/>
      <c r="K89" s="50"/>
    </row>
    <row r="90" spans="2:13" x14ac:dyDescent="0.25">
      <c r="B90" s="9" t="str">
        <f>'MEMD 50'!C93</f>
        <v>Gap under pot outer edge (not to be less)</v>
      </c>
      <c r="C90" s="85" t="str">
        <f>'MEMD 50'!I93</f>
        <v>H10</v>
      </c>
      <c r="D90" s="32">
        <f>'MEMD 50'!D93</f>
        <v>22.08451247401247</v>
      </c>
      <c r="E90" s="32">
        <f>'MEMD 100'!D93</f>
        <v>28.531573596673596</v>
      </c>
      <c r="F90" s="32">
        <f>'MEMD 150'!D93</f>
        <v>33.379075459459465</v>
      </c>
      <c r="G90" s="32">
        <f>'MEMD 200'!D93</f>
        <v>36.59040000000001</v>
      </c>
      <c r="H90" s="32">
        <f>'MEMD 250'!D93</f>
        <v>39.706479542619533</v>
      </c>
      <c r="I90" s="32">
        <f>'MEMD 300'!D93</f>
        <v>42.392755010395007</v>
      </c>
      <c r="J90" s="32">
        <f>'MEMD 500'!D93</f>
        <v>50.666483451143428</v>
      </c>
      <c r="K90" s="50">
        <f>'MEMD 1000'!D93</f>
        <v>63.990409771309793</v>
      </c>
    </row>
    <row r="91" spans="2:13" x14ac:dyDescent="0.25">
      <c r="B91" s="9" t="str">
        <f>'MEMD 50'!C94</f>
        <v>Upper combustion zone exit width</v>
      </c>
      <c r="C91" s="85" t="str">
        <f>'MEMD 50'!I94</f>
        <v>W5</v>
      </c>
      <c r="D91" s="32">
        <f>'MEMD 50'!D94</f>
        <v>151.64001440432619</v>
      </c>
      <c r="E91" s="32">
        <f>'MEMD 100'!D94</f>
        <v>193.36604054762694</v>
      </c>
      <c r="F91" s="32">
        <f>'MEMD 150'!D94</f>
        <v>223.85207738160048</v>
      </c>
      <c r="G91" s="32">
        <f>'MEMD 200'!D94</f>
        <v>245.49492977688882</v>
      </c>
      <c r="H91" s="32">
        <f>'MEMD 250'!D94</f>
        <v>265.64656281468308</v>
      </c>
      <c r="I91" s="32">
        <f>'MEMD 300'!D94</f>
        <v>283.01717061555371</v>
      </c>
      <c r="J91" s="32">
        <f>'MEMD 500'!D94</f>
        <v>336.51232028450698</v>
      </c>
      <c r="K91" s="50">
        <f>'MEMD 1000'!D94</f>
        <v>422.64774317877607</v>
      </c>
    </row>
    <row r="92" spans="2:13" x14ac:dyDescent="0.25">
      <c r="B92" s="9" t="str">
        <f>'MEMD 50'!C95</f>
        <v>Upper combustion zone exit length</v>
      </c>
      <c r="C92" s="85" t="str">
        <f>'MEMD 50'!I95</f>
        <v>W6</v>
      </c>
      <c r="D92" s="32">
        <f>'MEMD 50'!D95</f>
        <v>151.64001440432619</v>
      </c>
      <c r="E92" s="32">
        <f>'MEMD 100'!D95</f>
        <v>193.36604054762694</v>
      </c>
      <c r="F92" s="32">
        <f>'MEMD 150'!D95</f>
        <v>223.85207738160048</v>
      </c>
      <c r="G92" s="32">
        <f>'MEMD 200'!D95</f>
        <v>245.49492977688882</v>
      </c>
      <c r="H92" s="32">
        <f>'MEMD 250'!D95</f>
        <v>265.64656281468308</v>
      </c>
      <c r="I92" s="32">
        <f>'MEMD 300'!D95</f>
        <v>283.01717061555371</v>
      </c>
      <c r="J92" s="32">
        <f>'MEMD 500'!D95</f>
        <v>336.51232028450698</v>
      </c>
      <c r="K92" s="50">
        <f>'MEMD 1000'!D95</f>
        <v>422.64774317877607</v>
      </c>
      <c r="M92" t="s">
        <v>182</v>
      </c>
    </row>
    <row r="93" spans="2:13" x14ac:dyDescent="0.25">
      <c r="B93" s="9" t="str">
        <f>'MEMD 50'!C96</f>
        <v>Gap under pot centre</v>
      </c>
      <c r="C93" s="85" t="str">
        <f>'MEMD 50'!I96</f>
        <v>H11</v>
      </c>
      <c r="D93" s="32">
        <f>'MEMD 50'!D96</f>
        <v>53.074005041514162</v>
      </c>
      <c r="E93" s="32">
        <f>'MEMD 100'!D96</f>
        <v>67.678114191669422</v>
      </c>
      <c r="F93" s="32">
        <f>'MEMD 150'!D96</f>
        <v>78.348227083560161</v>
      </c>
      <c r="G93" s="32">
        <f>'MEMD 200'!D96</f>
        <v>85.923225421911084</v>
      </c>
      <c r="H93" s="32">
        <f>'MEMD 250'!D96</f>
        <v>92.976296985139072</v>
      </c>
      <c r="I93" s="32">
        <f>'MEMD 300'!D96</f>
        <v>99.056009715443793</v>
      </c>
      <c r="J93" s="32">
        <f>'MEMD 500'!D96</f>
        <v>117.77931209957744</v>
      </c>
      <c r="K93" s="50">
        <f>'MEMD 1000'!D96</f>
        <v>147.92671011257161</v>
      </c>
    </row>
    <row r="94" spans="2:13" x14ac:dyDescent="0.25">
      <c r="B94" s="9" t="str">
        <f>'MEMD 50'!C97</f>
        <v>Heat exchanger body inside diameter</v>
      </c>
      <c r="C94" s="85">
        <f>'MEMD 50'!I97</f>
        <v>0</v>
      </c>
      <c r="D94" s="32">
        <f>'MEMD 50'!D97</f>
        <v>544</v>
      </c>
      <c r="E94" s="32">
        <f>'MEMD 100'!D97</f>
        <v>664</v>
      </c>
      <c r="F94" s="32">
        <f>'MEMD 150'!D97</f>
        <v>749</v>
      </c>
      <c r="G94" s="32">
        <f>'MEMD 200'!D97</f>
        <v>814</v>
      </c>
      <c r="H94" s="32">
        <f>'MEMD 250'!D97</f>
        <v>872</v>
      </c>
      <c r="I94" s="32">
        <f>'MEMD 300'!D97</f>
        <v>922</v>
      </c>
      <c r="J94" s="32">
        <f>'MEMD 500'!D97</f>
        <v>1076</v>
      </c>
      <c r="K94" s="50">
        <f>'MEMD 1000'!D97</f>
        <v>1324</v>
      </c>
      <c r="M94" t="s">
        <v>181</v>
      </c>
    </row>
    <row r="95" spans="2:13" x14ac:dyDescent="0.25">
      <c r="B95" s="9" t="str">
        <f>'MEMD 50'!C98</f>
        <v>Heat exchanger body inside depth</v>
      </c>
      <c r="C95" s="85">
        <f>'MEMD 50'!I98</f>
        <v>0</v>
      </c>
      <c r="D95" s="32">
        <f>'MEMD 50'!D98</f>
        <v>313.95</v>
      </c>
      <c r="E95" s="32">
        <f>'MEMD 100'!D98</f>
        <v>376.95</v>
      </c>
      <c r="F95" s="32">
        <f>'MEMD 150'!D98</f>
        <v>427.57499999999993</v>
      </c>
      <c r="G95" s="32">
        <f>'MEMD 200'!D98</f>
        <v>455.7</v>
      </c>
      <c r="H95" s="32">
        <f>'MEMD 250'!D98</f>
        <v>486.14999999999992</v>
      </c>
      <c r="I95" s="32">
        <f>'MEMD 300'!D98</f>
        <v>518.39999999999986</v>
      </c>
      <c r="J95" s="32">
        <f>'MEMD 500'!D98</f>
        <v>593.25</v>
      </c>
      <c r="K95" s="50">
        <f>'MEMD 1000'!D98</f>
        <v>723.45</v>
      </c>
    </row>
    <row r="96" spans="2:13" x14ac:dyDescent="0.25">
      <c r="B96" s="9"/>
      <c r="C96" s="85"/>
      <c r="D96" s="32"/>
      <c r="E96" s="32"/>
      <c r="F96" s="32"/>
      <c r="G96" s="32"/>
      <c r="H96" s="32"/>
      <c r="I96" s="32"/>
      <c r="J96" s="32"/>
      <c r="K96" s="50"/>
    </row>
    <row r="97" spans="2:11" x14ac:dyDescent="0.25">
      <c r="B97" s="62" t="str">
        <f>'MEMD 50'!B100</f>
        <v>Chimney</v>
      </c>
      <c r="C97" s="85"/>
      <c r="D97" s="32"/>
      <c r="E97" s="32"/>
      <c r="F97" s="32"/>
      <c r="G97" s="32"/>
      <c r="H97" s="32"/>
      <c r="I97" s="32"/>
      <c r="J97" s="32"/>
      <c r="K97" s="50"/>
    </row>
    <row r="98" spans="2:11" x14ac:dyDescent="0.25">
      <c r="B98" s="9" t="str">
        <f>'MEMD 50'!C101</f>
        <v>Chimney outside diameter</v>
      </c>
      <c r="C98" s="85" t="str">
        <f>'MEMD 50'!I101</f>
        <v>D9</v>
      </c>
      <c r="D98" s="32">
        <f>'MEMD 50'!D101</f>
        <v>102</v>
      </c>
      <c r="E98" s="32">
        <f>'MEMD 100'!D101</f>
        <v>120</v>
      </c>
      <c r="F98" s="32">
        <f>'MEMD 150'!D101</f>
        <v>140</v>
      </c>
      <c r="G98" s="32">
        <f>'MEMD 200'!D101</f>
        <v>152</v>
      </c>
      <c r="H98" s="32">
        <f>'MEMD 250'!D101</f>
        <v>152</v>
      </c>
      <c r="I98" s="32">
        <f>'MEMD 300'!D101</f>
        <v>178</v>
      </c>
      <c r="J98" s="32">
        <f>'MEMD 500'!D101</f>
        <v>204</v>
      </c>
      <c r="K98" s="50">
        <f>'MEMD 1000'!D101</f>
        <v>255</v>
      </c>
    </row>
    <row r="99" spans="2:11" x14ac:dyDescent="0.25">
      <c r="B99" s="9" t="str">
        <f>'MEMD 50'!C102</f>
        <v>Chimney wall thickness</v>
      </c>
      <c r="C99" s="85" t="str">
        <f>'MEMD 50'!I102</f>
        <v>T</v>
      </c>
      <c r="D99" s="32">
        <f>'MEMD 50'!D102</f>
        <v>1.6</v>
      </c>
      <c r="E99" s="32">
        <f>'MEMD 100'!D102</f>
        <v>1.6</v>
      </c>
      <c r="F99" s="32">
        <f>'MEMD 150'!D102</f>
        <v>1.6</v>
      </c>
      <c r="G99" s="32">
        <f>'MEMD 200'!D102</f>
        <v>1.6</v>
      </c>
      <c r="H99" s="32">
        <f>'MEMD 250'!D102</f>
        <v>1.6</v>
      </c>
      <c r="I99" s="32">
        <f>'MEMD 300'!D102</f>
        <v>1.6</v>
      </c>
      <c r="J99" s="32">
        <f>'MEMD 500'!D102</f>
        <v>1.6</v>
      </c>
      <c r="K99" s="50">
        <f>'MEMD 1000'!D102</f>
        <v>1.6</v>
      </c>
    </row>
    <row r="100" spans="2:11" x14ac:dyDescent="0.25">
      <c r="B100" s="9" t="str">
        <f>'MEMD 50'!C103</f>
        <v>Chimney inside diameter</v>
      </c>
      <c r="C100" s="85" t="str">
        <f>'MEMD 50'!I103</f>
        <v>D10</v>
      </c>
      <c r="D100" s="32">
        <f>'MEMD 50'!D103</f>
        <v>98.8</v>
      </c>
      <c r="E100" s="32">
        <f>'MEMD 100'!D103</f>
        <v>116.8</v>
      </c>
      <c r="F100" s="32">
        <f>'MEMD 150'!D103</f>
        <v>136.80000000000001</v>
      </c>
      <c r="G100" s="32">
        <f>'MEMD 200'!D103</f>
        <v>148.80000000000001</v>
      </c>
      <c r="H100" s="32">
        <f>'MEMD 250'!D103</f>
        <v>148.80000000000001</v>
      </c>
      <c r="I100" s="32">
        <f>'MEMD 300'!D103</f>
        <v>174.8</v>
      </c>
      <c r="J100" s="32">
        <f>'MEMD 500'!D103</f>
        <v>200.8</v>
      </c>
      <c r="K100" s="50">
        <f>'MEMD 1000'!D103</f>
        <v>251.8</v>
      </c>
    </row>
    <row r="101" spans="2:11" x14ac:dyDescent="0.25">
      <c r="B101" s="9" t="str">
        <f>'MEMD 50'!C104</f>
        <v>Distance from right (or left) corner</v>
      </c>
      <c r="C101" s="85">
        <f>'MEMD 50'!I104</f>
        <v>0</v>
      </c>
      <c r="D101" s="32">
        <f>'MEMD 50'!D104</f>
        <v>147.9</v>
      </c>
      <c r="E101" s="32">
        <f>'MEMD 100'!D104</f>
        <v>174</v>
      </c>
      <c r="F101" s="32">
        <f>'MEMD 150'!D104</f>
        <v>203</v>
      </c>
      <c r="G101" s="32">
        <f>'MEMD 200'!D104</f>
        <v>220.4</v>
      </c>
      <c r="H101" s="32">
        <f>'MEMD 250'!D104</f>
        <v>220.4</v>
      </c>
      <c r="I101" s="32">
        <f>'MEMD 300'!D104</f>
        <v>258.09999999999997</v>
      </c>
      <c r="J101" s="32">
        <f>'MEMD 500'!D104</f>
        <v>295.8</v>
      </c>
      <c r="K101" s="50">
        <f>'MEMD 1000'!D104</f>
        <v>369.75</v>
      </c>
    </row>
    <row r="102" spans="2:11" x14ac:dyDescent="0.25">
      <c r="B102" s="9" t="str">
        <f>'MEMD 50'!C105</f>
        <v>Distance from back wall</v>
      </c>
      <c r="C102" s="85">
        <f>'MEMD 50'!I105</f>
        <v>0</v>
      </c>
      <c r="D102" s="32">
        <f>'MEMD 50'!D105</f>
        <v>114.24000000000001</v>
      </c>
      <c r="E102" s="32">
        <f>'MEMD 100'!D105</f>
        <v>134.4</v>
      </c>
      <c r="F102" s="32">
        <f>'MEMD 150'!D105</f>
        <v>156.80000000000001</v>
      </c>
      <c r="G102" s="32">
        <f>'MEMD 200'!D105</f>
        <v>170.24</v>
      </c>
      <c r="H102" s="32">
        <f>'MEMD 250'!D105</f>
        <v>170.24</v>
      </c>
      <c r="I102" s="32">
        <f>'MEMD 300'!D105</f>
        <v>199.36</v>
      </c>
      <c r="J102" s="32">
        <f>'MEMD 500'!D105</f>
        <v>228.48000000000002</v>
      </c>
      <c r="K102" s="50">
        <f>'MEMD 1000'!D105</f>
        <v>285.60000000000002</v>
      </c>
    </row>
    <row r="103" spans="2:11" x14ac:dyDescent="0.25">
      <c r="B103" s="9" t="str">
        <f>'MEMD 50'!C106</f>
        <v>Gas velocity in chimney at high power</v>
      </c>
      <c r="C103" s="85" t="str">
        <f>'MEMD 50'!I106</f>
        <v>Details below</v>
      </c>
      <c r="D103" s="32">
        <f>'MEMD 50'!D106</f>
        <v>2.0471003056832613</v>
      </c>
      <c r="E103" s="32">
        <f>'MEMD 100'!D106</f>
        <v>2.4049704777954375</v>
      </c>
      <c r="F103" s="32">
        <f>'MEMD 150'!D106</f>
        <v>2.34805703402807</v>
      </c>
      <c r="G103" s="32">
        <f>'MEMD 200'!D106</f>
        <v>2.4160711017004557</v>
      </c>
      <c r="H103" s="32">
        <f>'MEMD 250'!D106</f>
        <v>2.8290007246418072</v>
      </c>
      <c r="I103" s="32">
        <f>'MEMD 300'!D106</f>
        <v>2.3415174455682659</v>
      </c>
      <c r="J103" s="32">
        <f>'MEMD 500'!D106</f>
        <v>2.5203069440019457</v>
      </c>
      <c r="K103" s="50">
        <f>'MEMD 1000'!D106</f>
        <v>2.5444187097474944</v>
      </c>
    </row>
    <row r="104" spans="2:11" x14ac:dyDescent="0.25">
      <c r="B104" s="9"/>
      <c r="C104" s="85"/>
      <c r="D104" s="32"/>
      <c r="E104" s="32"/>
      <c r="F104" s="32"/>
      <c r="G104" s="32"/>
      <c r="H104" s="32"/>
      <c r="I104" s="32"/>
      <c r="J104" s="32"/>
      <c r="K104" s="50"/>
    </row>
    <row r="105" spans="2:11" x14ac:dyDescent="0.25">
      <c r="B105" s="62" t="str">
        <f>'MEMD 50'!B108</f>
        <v>Primary air through the fuel shelf</v>
      </c>
      <c r="C105" s="85"/>
      <c r="D105" s="32"/>
      <c r="E105" s="32"/>
      <c r="F105" s="32"/>
      <c r="G105" s="32"/>
      <c r="H105" s="32"/>
      <c r="I105" s="32"/>
      <c r="J105" s="32"/>
      <c r="K105" s="50"/>
    </row>
    <row r="106" spans="2:11" x14ac:dyDescent="0.25">
      <c r="B106" s="9" t="str">
        <f>'MEMD 50'!C109</f>
        <v>Fuel shelf brick length (U-channel)</v>
      </c>
      <c r="C106" s="85" t="str">
        <f>'MEMD 50'!I109</f>
        <v>L14</v>
      </c>
      <c r="D106" s="32">
        <f>'MEMD 50'!D109</f>
        <v>310</v>
      </c>
      <c r="E106" s="32">
        <f>'MEMD 100'!D109</f>
        <v>350</v>
      </c>
      <c r="F106" s="32">
        <f>'MEMD 150'!D109</f>
        <v>350</v>
      </c>
      <c r="G106" s="32">
        <f>'MEMD 200'!D109</f>
        <v>350</v>
      </c>
      <c r="H106" s="32">
        <f>'MEMD 250'!D109</f>
        <v>350</v>
      </c>
      <c r="I106" s="32">
        <f>'MEMD 300'!D109</f>
        <v>350</v>
      </c>
      <c r="J106" s="32">
        <f>'MEMD 500'!D109</f>
        <v>350</v>
      </c>
      <c r="K106" s="50">
        <f>'MEMD 1000'!D109</f>
        <v>350</v>
      </c>
    </row>
    <row r="107" spans="2:11" x14ac:dyDescent="0.25">
      <c r="B107" s="9" t="str">
        <f>'MEMD 50'!C110</f>
        <v>Fuel shelf brick thickness</v>
      </c>
      <c r="C107" s="85" t="str">
        <f>'MEMD 50'!I110</f>
        <v>T5</v>
      </c>
      <c r="D107" s="32">
        <f>'MEMD 50'!D110</f>
        <v>76</v>
      </c>
      <c r="E107" s="32">
        <f>'MEMD 100'!D110</f>
        <v>85</v>
      </c>
      <c r="F107" s="32">
        <f>'MEMD 150'!D110</f>
        <v>85</v>
      </c>
      <c r="G107" s="32">
        <f>'MEMD 200'!D110</f>
        <v>85</v>
      </c>
      <c r="H107" s="32">
        <f>'MEMD 250'!D110</f>
        <v>85</v>
      </c>
      <c r="I107" s="32">
        <f>'MEMD 300'!D110</f>
        <v>85</v>
      </c>
      <c r="J107" s="32">
        <f>'MEMD 500'!D110</f>
        <v>85</v>
      </c>
      <c r="K107" s="50">
        <f>'MEMD 1000'!D110</f>
        <v>85</v>
      </c>
    </row>
    <row r="108" spans="2:11" x14ac:dyDescent="0.25">
      <c r="B108" s="9" t="str">
        <f>'MEMD 50'!C111</f>
        <v>Area per gap, mm2</v>
      </c>
      <c r="C108" s="85" t="str">
        <f>'MEMD 50'!I111</f>
        <v>A2</v>
      </c>
      <c r="D108" s="32">
        <f>'MEMD 50'!D111</f>
        <v>2274.6002160648927</v>
      </c>
      <c r="E108" s="32">
        <f>'MEMD 100'!D111</f>
        <v>2900.4906082144039</v>
      </c>
      <c r="F108" s="32">
        <f>'MEMD 150'!D111</f>
        <v>3357.7811607240073</v>
      </c>
      <c r="G108" s="32">
        <f>'MEMD 200'!D111</f>
        <v>3682.4239466533318</v>
      </c>
      <c r="H108" s="32">
        <f>'MEMD 250'!D111</f>
        <v>3984.6984422202463</v>
      </c>
      <c r="I108" s="32">
        <f>'MEMD 300'!D111</f>
        <v>4245.257559233306</v>
      </c>
      <c r="J108" s="32">
        <f>'MEMD 500'!D111</f>
        <v>5047.6848042676047</v>
      </c>
      <c r="K108" s="50">
        <f>'MEMD 1000'!D111</f>
        <v>6339.7161476816409</v>
      </c>
    </row>
    <row r="109" spans="2:11" x14ac:dyDescent="0.25">
      <c r="B109" s="9" t="str">
        <f>'MEMD 50'!C112</f>
        <v>Number of gaps between U-channels</v>
      </c>
      <c r="C109" s="85" t="str">
        <f>'MEMD 50'!I112</f>
        <v>N4</v>
      </c>
      <c r="D109" s="32">
        <f>'MEMD 50'!D112</f>
        <v>6</v>
      </c>
      <c r="E109" s="32">
        <f>'MEMD 100'!D112</f>
        <v>4</v>
      </c>
      <c r="F109" s="32">
        <f>'MEMD 150'!D112</f>
        <v>4</v>
      </c>
      <c r="G109" s="32">
        <f>'MEMD 200'!D112</f>
        <v>5</v>
      </c>
      <c r="H109" s="32">
        <f>'MEMD 250'!D112</f>
        <v>5</v>
      </c>
      <c r="I109" s="32">
        <f>'MEMD 300'!D112</f>
        <v>5</v>
      </c>
      <c r="J109" s="32">
        <f>'MEMD 500'!D112</f>
        <v>6</v>
      </c>
      <c r="K109" s="50">
        <f>'MEMD 1000'!D112</f>
        <v>7</v>
      </c>
    </row>
    <row r="110" spans="2:11" x14ac:dyDescent="0.25">
      <c r="B110" s="9" t="str">
        <f>'MEMD 50'!C113</f>
        <v>Area of all air gaps, mm2</v>
      </c>
      <c r="C110" s="85" t="str">
        <f>'MEMD 50'!I113</f>
        <v>A1</v>
      </c>
      <c r="D110" s="32">
        <f>'MEMD 50'!D113</f>
        <v>13647.601296389355</v>
      </c>
      <c r="E110" s="32">
        <f>'MEMD 100'!D113</f>
        <v>11601.962432857616</v>
      </c>
      <c r="F110" s="32">
        <f>'MEMD 150'!D113</f>
        <v>13431.124642896029</v>
      </c>
      <c r="G110" s="32">
        <f>'MEMD 200'!D113</f>
        <v>18412.11973326666</v>
      </c>
      <c r="H110" s="32">
        <f>'MEMD 250'!D113</f>
        <v>19923.492211101231</v>
      </c>
      <c r="I110" s="32">
        <f>'MEMD 300'!D113</f>
        <v>21226.287796166529</v>
      </c>
      <c r="J110" s="32">
        <f>'MEMD 500'!D113</f>
        <v>30286.108825605628</v>
      </c>
      <c r="K110" s="50">
        <f>'MEMD 1000'!D113</f>
        <v>44378.013033771487</v>
      </c>
    </row>
    <row r="111" spans="2:11" x14ac:dyDescent="0.25">
      <c r="B111" s="9" t="str">
        <f>'MEMD 50'!C114</f>
        <v>Effective diameter</v>
      </c>
      <c r="C111" s="85" t="str">
        <f>'MEMD 50'!I114</f>
        <v>D8</v>
      </c>
      <c r="D111" s="32">
        <f>'MEMD 50'!D114</f>
        <v>53.81552697462849</v>
      </c>
      <c r="E111" s="32">
        <f>'MEMD 100'!D114</f>
        <v>60.770217553597114</v>
      </c>
      <c r="F111" s="32">
        <f>'MEMD 150'!D114</f>
        <v>65.385470529778573</v>
      </c>
      <c r="G111" s="32">
        <f>'MEMD 200'!D114</f>
        <v>68.473409359829233</v>
      </c>
      <c r="H111" s="32">
        <f>'MEMD 250'!D114</f>
        <v>71.228334463747061</v>
      </c>
      <c r="I111" s="32">
        <f>'MEMD 300'!D114</f>
        <v>73.520267967423251</v>
      </c>
      <c r="J111" s="32">
        <f>'MEMD 500'!D114</f>
        <v>80.168022940273914</v>
      </c>
      <c r="K111" s="50">
        <f>'MEMD 1000'!D114</f>
        <v>89.84418346016804</v>
      </c>
    </row>
    <row r="112" spans="2:11" x14ac:dyDescent="0.25">
      <c r="B112" s="9"/>
      <c r="C112" s="85"/>
      <c r="D112" s="32"/>
      <c r="E112" s="32"/>
      <c r="F112" s="32"/>
      <c r="G112" s="32"/>
      <c r="H112" s="32"/>
      <c r="I112" s="32"/>
      <c r="J112" s="32"/>
      <c r="K112" s="50"/>
    </row>
    <row r="113" spans="2:11" x14ac:dyDescent="0.25">
      <c r="B113" s="62" t="str">
        <f>'MEMD 50'!B116</f>
        <v>Cooking power</v>
      </c>
      <c r="C113" s="85"/>
      <c r="D113" s="32"/>
      <c r="E113" s="32"/>
      <c r="F113" s="32"/>
      <c r="G113" s="32"/>
      <c r="H113" s="32"/>
      <c r="I113" s="32"/>
      <c r="J113" s="32"/>
      <c r="K113" s="50"/>
    </row>
    <row r="114" spans="2:11" x14ac:dyDescent="0.25">
      <c r="B114" s="9" t="str">
        <f>'MEMD 50'!C117</f>
        <v>Pot bottom area heated</v>
      </c>
      <c r="C114" s="85">
        <f>'MEMD 50'!I117</f>
        <v>0</v>
      </c>
      <c r="D114" s="32">
        <f>'MEMD 50'!D117</f>
        <v>1690.9308298681703</v>
      </c>
      <c r="E114" s="32">
        <f>'MEMD 100'!D117</f>
        <v>2678.6475601568013</v>
      </c>
      <c r="F114" s="32">
        <f>'MEMD 150'!D117</f>
        <v>3515.1358740832538</v>
      </c>
      <c r="G114" s="32">
        <f>'MEMD 200'!D117</f>
        <v>4231.3797291935571</v>
      </c>
      <c r="H114" s="32">
        <f>'MEMD 250'!D117</f>
        <v>4926.5199356533703</v>
      </c>
      <c r="I114" s="32">
        <f>'MEMD 300'!D117</f>
        <v>5568.1902351490853</v>
      </c>
      <c r="J114" s="32">
        <f>'MEMD 500'!D117</f>
        <v>7791.2754446088293</v>
      </c>
      <c r="K114" s="50">
        <f>'MEMD 1000'!D117</f>
        <v>12154.319321914336</v>
      </c>
    </row>
    <row r="115" spans="2:11" x14ac:dyDescent="0.25">
      <c r="B115" s="9" t="str">
        <f>'MEMD 50'!C118</f>
        <v>Circumference</v>
      </c>
      <c r="C115" s="85">
        <f>'MEMD 50'!I118</f>
        <v>0</v>
      </c>
      <c r="D115" s="32">
        <f>'MEMD 50'!D118</f>
        <v>1457.6989912656641</v>
      </c>
      <c r="E115" s="32">
        <f>'MEMD 100'!D118</f>
        <v>1834.6901096964391</v>
      </c>
      <c r="F115" s="32">
        <f>'MEMD 150'!D118</f>
        <v>2101.7254852515716</v>
      </c>
      <c r="G115" s="32">
        <f>'MEMD 200'!D118</f>
        <v>2305.9290077349083</v>
      </c>
      <c r="H115" s="32">
        <f>'MEMD 250'!D118</f>
        <v>2488.1413816431163</v>
      </c>
      <c r="I115" s="32">
        <f>'MEMD 300'!D118</f>
        <v>2645.2210143226057</v>
      </c>
      <c r="J115" s="32">
        <f>'MEMD 500'!D118</f>
        <v>3129.0262829754338</v>
      </c>
      <c r="K115" s="50">
        <f>'MEMD 1000'!D118</f>
        <v>3908.1412610657026</v>
      </c>
    </row>
    <row r="116" spans="2:11" x14ac:dyDescent="0.25">
      <c r="B116" s="9" t="str">
        <f>'MEMD 50'!C119</f>
        <v>% of side heated @ full power</v>
      </c>
      <c r="C116" s="85">
        <f>'MEMD 50'!I119</f>
        <v>0</v>
      </c>
      <c r="D116" s="32">
        <f>'MEMD 50'!D119</f>
        <v>60</v>
      </c>
      <c r="E116" s="32">
        <f>'MEMD 100'!D119</f>
        <v>60</v>
      </c>
      <c r="F116" s="32">
        <f>'MEMD 150'!D119</f>
        <v>60</v>
      </c>
      <c r="G116" s="32">
        <f>'MEMD 200'!D119</f>
        <v>60</v>
      </c>
      <c r="H116" s="32">
        <f>'MEMD 250'!D119</f>
        <v>60</v>
      </c>
      <c r="I116" s="32">
        <f>'MEMD 300'!D119</f>
        <v>60</v>
      </c>
      <c r="J116" s="32">
        <f>'MEMD 500'!D119</f>
        <v>60</v>
      </c>
      <c r="K116" s="50">
        <f>'MEMD 1000'!D119</f>
        <v>60</v>
      </c>
    </row>
    <row r="117" spans="2:11" x14ac:dyDescent="0.25">
      <c r="B117" s="9" t="str">
        <f>'MEMD 50'!C120</f>
        <v>Effective heated area, side + bottom</v>
      </c>
      <c r="C117" s="85">
        <f>'MEMD 50'!I120</f>
        <v>0</v>
      </c>
      <c r="D117" s="32">
        <f>'MEMD 50'!D120</f>
        <v>3385.505907214505</v>
      </c>
      <c r="E117" s="32">
        <f>'MEMD 100'!D120</f>
        <v>5504.9876741441658</v>
      </c>
      <c r="F117" s="32">
        <f>'MEMD 150'!D120</f>
        <v>7315.5809827894072</v>
      </c>
      <c r="G117" s="32">
        <f>'MEMD 200'!D120</f>
        <v>8873.2148217639278</v>
      </c>
      <c r="H117" s="32">
        <f>'MEMD 250'!D120</f>
        <v>10389.73196732716</v>
      </c>
      <c r="I117" s="32">
        <f>'MEMD 300'!D120</f>
        <v>11792.92432605304</v>
      </c>
      <c r="J117" s="32">
        <f>'MEMD 500'!D120</f>
        <v>16672.390743577998</v>
      </c>
      <c r="K117" s="50">
        <f>'MEMD 1000'!D120</f>
        <v>26299.83661634165</v>
      </c>
    </row>
    <row r="118" spans="2:11" x14ac:dyDescent="0.25">
      <c r="B118" s="9" t="str">
        <f>'MEMD 50'!C121</f>
        <v>Heat flux</v>
      </c>
      <c r="C118" s="85">
        <f>'MEMD 50'!I121</f>
        <v>0</v>
      </c>
      <c r="D118" s="82">
        <f>'MEMD 50'!D121</f>
        <v>2</v>
      </c>
      <c r="E118" s="82">
        <f>'MEMD 100'!D121</f>
        <v>2</v>
      </c>
      <c r="F118" s="82">
        <f>'MEMD 150'!D121</f>
        <v>2</v>
      </c>
      <c r="G118" s="82">
        <f>'MEMD 200'!D121</f>
        <v>2</v>
      </c>
      <c r="H118" s="82">
        <f>'MEMD 250'!D121</f>
        <v>2</v>
      </c>
      <c r="I118" s="82">
        <f>'MEMD 300'!D121</f>
        <v>2</v>
      </c>
      <c r="J118" s="82">
        <f>'MEMD 500'!D121</f>
        <v>2</v>
      </c>
      <c r="K118" s="51">
        <f>'MEMD 1000'!D121</f>
        <v>2</v>
      </c>
    </row>
    <row r="119" spans="2:11" x14ac:dyDescent="0.25">
      <c r="B119" s="9" t="str">
        <f>'MEMD 50'!C122</f>
        <v>Heat gain rate</v>
      </c>
      <c r="C119" s="85">
        <f>'MEMD 50'!I122</f>
        <v>0</v>
      </c>
      <c r="D119" s="32">
        <f>'MEMD 50'!D122</f>
        <v>6771.01181442901</v>
      </c>
      <c r="E119" s="32">
        <f>'MEMD 100'!D122</f>
        <v>11009.975348288332</v>
      </c>
      <c r="F119" s="32">
        <f>'MEMD 150'!D122</f>
        <v>14631.161965578814</v>
      </c>
      <c r="G119" s="32">
        <f>'MEMD 200'!D122</f>
        <v>17746.429643527856</v>
      </c>
      <c r="H119" s="32">
        <f>'MEMD 250'!D122</f>
        <v>20779.463934654319</v>
      </c>
      <c r="I119" s="32">
        <f>'MEMD 300'!D122</f>
        <v>23585.84865210608</v>
      </c>
      <c r="J119" s="32">
        <f>'MEMD 500'!D122</f>
        <v>33344.781487155997</v>
      </c>
      <c r="K119" s="50">
        <f>'MEMD 1000'!D122</f>
        <v>52599.673232683301</v>
      </c>
    </row>
    <row r="120" spans="2:11" x14ac:dyDescent="0.25">
      <c r="B120" s="9" t="str">
        <f>'MEMD 50'!C123</f>
        <v>% filled with water</v>
      </c>
      <c r="C120" s="85">
        <f>'MEMD 50'!I123</f>
        <v>0</v>
      </c>
      <c r="D120" s="32">
        <f>'MEMD 50'!D123</f>
        <v>90</v>
      </c>
      <c r="E120" s="32">
        <f>'MEMD 100'!D123</f>
        <v>90</v>
      </c>
      <c r="F120" s="32">
        <f>'MEMD 150'!D123</f>
        <v>90</v>
      </c>
      <c r="G120" s="32">
        <f>'MEMD 200'!D123</f>
        <v>90</v>
      </c>
      <c r="H120" s="32">
        <f>'MEMD 250'!D123</f>
        <v>90</v>
      </c>
      <c r="I120" s="32">
        <f>'MEMD 300'!D123</f>
        <v>90</v>
      </c>
      <c r="J120" s="32">
        <f>'MEMD 500'!D123</f>
        <v>90</v>
      </c>
      <c r="K120" s="50">
        <f>'MEMD 1000'!D123</f>
        <v>90</v>
      </c>
    </row>
    <row r="121" spans="2:11" x14ac:dyDescent="0.25">
      <c r="B121" s="9" t="str">
        <f>'MEMD 50'!C124</f>
        <v>Pot load</v>
      </c>
      <c r="C121" s="85">
        <f>'MEMD 50'!I124</f>
        <v>0</v>
      </c>
      <c r="D121" s="32">
        <f>'MEMD 50'!D124</f>
        <v>48.16193484844603</v>
      </c>
      <c r="E121" s="32">
        <f>'MEMD 100'!D124</f>
        <v>96.541582067785853</v>
      </c>
      <c r="F121" s="32">
        <f>'MEMD 150'!D124</f>
        <v>145.51084634159449</v>
      </c>
      <c r="G121" s="32">
        <f>'MEMD 200'!D124</f>
        <v>192.48593951814263</v>
      </c>
      <c r="H121" s="32">
        <f>'MEMD 250'!D124</f>
        <v>242.10796831959786</v>
      </c>
      <c r="I121" s="32">
        <f>'MEMD 300'!D124</f>
        <v>291.18063359956005</v>
      </c>
      <c r="J121" s="32">
        <f>'MEMD 500'!D124</f>
        <v>483.02037113363593</v>
      </c>
      <c r="K121" s="50">
        <f>'MEMD 1000'!D124</f>
        <v>943.39916237038278</v>
      </c>
    </row>
    <row r="122" spans="2:11" x14ac:dyDescent="0.25">
      <c r="B122" s="9" t="str">
        <f>'MEMD 50'!C125</f>
        <v>Initial Temperature</v>
      </c>
      <c r="C122" s="85">
        <f>'MEMD 50'!I125</f>
        <v>0</v>
      </c>
      <c r="D122" s="32">
        <f>'MEMD 50'!D125</f>
        <v>25</v>
      </c>
      <c r="E122" s="32">
        <f>'MEMD 100'!D125</f>
        <v>25</v>
      </c>
      <c r="F122" s="32">
        <f>'MEMD 150'!D125</f>
        <v>25</v>
      </c>
      <c r="G122" s="32">
        <f>'MEMD 200'!D125</f>
        <v>25</v>
      </c>
      <c r="H122" s="32">
        <f>'MEMD 250'!D125</f>
        <v>25</v>
      </c>
      <c r="I122" s="32">
        <f>'MEMD 300'!D125</f>
        <v>25</v>
      </c>
      <c r="J122" s="32">
        <f>'MEMD 500'!D125</f>
        <v>25</v>
      </c>
      <c r="K122" s="50">
        <f>'MEMD 1000'!D125</f>
        <v>25</v>
      </c>
    </row>
    <row r="123" spans="2:11" x14ac:dyDescent="0.25">
      <c r="B123" s="9" t="str">
        <f>'MEMD 50'!C126</f>
        <v>Final Temperature</v>
      </c>
      <c r="C123" s="85">
        <f>'MEMD 50'!I126</f>
        <v>0</v>
      </c>
      <c r="D123" s="32">
        <f>'MEMD 50'!D126</f>
        <v>95</v>
      </c>
      <c r="E123" s="32">
        <f>'MEMD 100'!D126</f>
        <v>95</v>
      </c>
      <c r="F123" s="32">
        <f>'MEMD 150'!D126</f>
        <v>95</v>
      </c>
      <c r="G123" s="32">
        <f>'MEMD 200'!D126</f>
        <v>95</v>
      </c>
      <c r="H123" s="32">
        <f>'MEMD 250'!D126</f>
        <v>95</v>
      </c>
      <c r="I123" s="32">
        <f>'MEMD 300'!D126</f>
        <v>95</v>
      </c>
      <c r="J123" s="32">
        <f>'MEMD 500'!D126</f>
        <v>95</v>
      </c>
      <c r="K123" s="50">
        <f>'MEMD 1000'!D126</f>
        <v>95</v>
      </c>
    </row>
    <row r="124" spans="2:11" x14ac:dyDescent="0.25">
      <c r="B124" s="9" t="str">
        <f>'MEMD 50'!C127</f>
        <v>Delta T</v>
      </c>
      <c r="C124" s="85">
        <f>'MEMD 50'!I127</f>
        <v>0</v>
      </c>
      <c r="D124" s="32">
        <f>'MEMD 50'!D127</f>
        <v>70</v>
      </c>
      <c r="E124" s="32">
        <f>'MEMD 100'!D127</f>
        <v>70</v>
      </c>
      <c r="F124" s="32">
        <f>'MEMD 150'!D127</f>
        <v>70</v>
      </c>
      <c r="G124" s="32">
        <f>'MEMD 200'!D127</f>
        <v>70</v>
      </c>
      <c r="H124" s="32">
        <f>'MEMD 250'!D127</f>
        <v>70</v>
      </c>
      <c r="I124" s="32">
        <f>'MEMD 300'!D127</f>
        <v>70</v>
      </c>
      <c r="J124" s="32">
        <f>'MEMD 500'!D127</f>
        <v>70</v>
      </c>
      <c r="K124" s="50">
        <f>'MEMD 1000'!D127</f>
        <v>70</v>
      </c>
    </row>
    <row r="125" spans="2:11" x14ac:dyDescent="0.25">
      <c r="B125" s="9" t="str">
        <f>'MEMD 50'!C128</f>
        <v>Heat gain to boil (MJ)</v>
      </c>
      <c r="C125" s="85">
        <f>'MEMD 50'!I128</f>
        <v>0</v>
      </c>
      <c r="D125" s="32">
        <f>'MEMD 50'!D128</f>
        <v>14.112410149291657</v>
      </c>
      <c r="E125" s="32">
        <f>'MEMD 100'!D128</f>
        <v>28.288614377502611</v>
      </c>
      <c r="F125" s="32">
        <f>'MEMD 150'!D128</f>
        <v>42.637588195014018</v>
      </c>
      <c r="G125" s="32">
        <f>'MEMD 200'!D128</f>
        <v>56.402229997606149</v>
      </c>
      <c r="H125" s="32">
        <f>'MEMD 250'!D128</f>
        <v>70.942476877008559</v>
      </c>
      <c r="I125" s="32">
        <f>'MEMD 300'!D128</f>
        <v>85.321749257343086</v>
      </c>
      <c r="J125" s="32">
        <f>'MEMD 500'!D128</f>
        <v>141.534629149578</v>
      </c>
      <c r="K125" s="50">
        <f>'MEMD 1000'!D128</f>
        <v>276.43482255776956</v>
      </c>
    </row>
    <row r="126" spans="2:11" x14ac:dyDescent="0.25">
      <c r="B126" s="9" t="str">
        <f>'MEMD 50'!C129</f>
        <v>Time to boil (theory)</v>
      </c>
      <c r="C126" s="85">
        <f>'MEMD 50'!I129</f>
        <v>0</v>
      </c>
      <c r="D126" s="32">
        <f>'MEMD 50'!D129</f>
        <v>34.73732468171189</v>
      </c>
      <c r="E126" s="32">
        <f>'MEMD 100'!D129</f>
        <v>42.822703173900244</v>
      </c>
      <c r="F126" s="32">
        <f>'MEMD 150'!D129</f>
        <v>48.56938031228934</v>
      </c>
      <c r="G126" s="32">
        <f>'MEMD 200'!D129</f>
        <v>52.970495221251554</v>
      </c>
      <c r="H126" s="32">
        <f>'MEMD 250'!D129</f>
        <v>56.901112479852763</v>
      </c>
      <c r="I126" s="32">
        <f>'MEMD 300'!D129</f>
        <v>60.291625510879058</v>
      </c>
      <c r="J126" s="32">
        <f>'MEMD 500'!D129</f>
        <v>70.743018266139288</v>
      </c>
      <c r="K126" s="50">
        <f>'MEMD 1000'!D129</f>
        <v>87.590792099574031</v>
      </c>
    </row>
    <row r="127" spans="2:11" x14ac:dyDescent="0.25">
      <c r="B127" s="9" t="str">
        <f>'MEMD 50'!C130&amp;" (%)"</f>
        <v>Evaporation energy (%)</v>
      </c>
      <c r="C127" s="85">
        <f>'MEMD 50'!I130</f>
        <v>0</v>
      </c>
      <c r="D127" s="32">
        <f>'MEMD 50'!D130</f>
        <v>5</v>
      </c>
      <c r="E127" s="32">
        <f>'MEMD 100'!D130</f>
        <v>5</v>
      </c>
      <c r="F127" s="32">
        <f>'MEMD 150'!D130</f>
        <v>5</v>
      </c>
      <c r="G127" s="32">
        <f>'MEMD 200'!D130</f>
        <v>5</v>
      </c>
      <c r="H127" s="32">
        <f>'MEMD 250'!D130</f>
        <v>5</v>
      </c>
      <c r="I127" s="32">
        <f>'MEMD 300'!D130</f>
        <v>5</v>
      </c>
      <c r="J127" s="32">
        <f>'MEMD 500'!D130</f>
        <v>5</v>
      </c>
      <c r="K127" s="50">
        <f>'MEMD 1000'!D130</f>
        <v>5</v>
      </c>
    </row>
    <row r="128" spans="2:11" x14ac:dyDescent="0.25">
      <c r="B128" s="9" t="str">
        <f>'MEMD 50'!C131</f>
        <v>Time to boil (model)</v>
      </c>
      <c r="C128" s="85">
        <f>'MEMD 50'!I131</f>
        <v>0</v>
      </c>
      <c r="D128" s="32">
        <f>'MEMD 50'!D131</f>
        <v>36.474190915797486</v>
      </c>
      <c r="E128" s="32">
        <f>'MEMD 100'!D131</f>
        <v>44.963838332595259</v>
      </c>
      <c r="F128" s="32">
        <f>'MEMD 150'!D131</f>
        <v>50.997849327903808</v>
      </c>
      <c r="G128" s="32">
        <f>'MEMD 200'!D131</f>
        <v>55.619019982314128</v>
      </c>
      <c r="H128" s="32">
        <f>'MEMD 250'!D131</f>
        <v>59.746168103845406</v>
      </c>
      <c r="I128" s="32">
        <f>'MEMD 300'!D131</f>
        <v>63.306206786423012</v>
      </c>
      <c r="J128" s="32">
        <f>'MEMD 500'!D131</f>
        <v>74.280169179446247</v>
      </c>
      <c r="K128" s="50">
        <f>'MEMD 1000'!D131</f>
        <v>91.970331704552734</v>
      </c>
    </row>
    <row r="129" spans="2:11" x14ac:dyDescent="0.25">
      <c r="B129" s="9"/>
      <c r="C129" s="85"/>
      <c r="D129" s="32"/>
      <c r="E129" s="32"/>
      <c r="F129" s="32"/>
      <c r="G129" s="32"/>
      <c r="H129" s="32"/>
      <c r="I129" s="32"/>
      <c r="J129" s="32"/>
      <c r="K129" s="50"/>
    </row>
    <row r="130" spans="2:11" x14ac:dyDescent="0.25">
      <c r="B130" s="62" t="str">
        <f>'MEMD 50'!B133</f>
        <v>Fire power</v>
      </c>
      <c r="C130" s="85"/>
      <c r="D130" s="32"/>
      <c r="E130" s="32"/>
      <c r="F130" s="32"/>
      <c r="G130" s="32"/>
      <c r="H130" s="32"/>
      <c r="I130" s="32"/>
      <c r="J130" s="32"/>
      <c r="K130" s="50"/>
    </row>
    <row r="131" spans="2:11" x14ac:dyDescent="0.25">
      <c r="B131" s="9" t="str">
        <f>'MEMD 50'!C134</f>
        <v>Thermal efficiency (on high)</v>
      </c>
      <c r="C131" s="85">
        <f>'MEMD 50'!I134</f>
        <v>0</v>
      </c>
      <c r="D131" s="32">
        <f>'MEMD 50'!D134</f>
        <v>37</v>
      </c>
      <c r="E131" s="32">
        <f>'MEMD 100'!D134</f>
        <v>37</v>
      </c>
      <c r="F131" s="32">
        <f>'MEMD 150'!D134</f>
        <v>37</v>
      </c>
      <c r="G131" s="32">
        <f>'MEMD 200'!D134</f>
        <v>37</v>
      </c>
      <c r="H131" s="32">
        <f>'MEMD 250'!D134</f>
        <v>37</v>
      </c>
      <c r="I131" s="32">
        <f>'MEMD 300'!D134</f>
        <v>37</v>
      </c>
      <c r="J131" s="32">
        <f>'MEMD 500'!D134</f>
        <v>37</v>
      </c>
      <c r="K131" s="50">
        <f>'MEMD 1000'!D134</f>
        <v>37</v>
      </c>
    </row>
    <row r="132" spans="2:11" x14ac:dyDescent="0.25">
      <c r="B132" s="9" t="str">
        <f>'MEMD 50'!C135</f>
        <v xml:space="preserve">High power heat output </v>
      </c>
      <c r="C132" s="85">
        <f>'MEMD 50'!I135</f>
        <v>0</v>
      </c>
      <c r="D132" s="32">
        <f>'MEMD 50'!D135</f>
        <v>18300.031930889218</v>
      </c>
      <c r="E132" s="32">
        <f>'MEMD 100'!D135</f>
        <v>29756.690130509003</v>
      </c>
      <c r="F132" s="32">
        <f>'MEMD 150'!D135</f>
        <v>39543.680988050852</v>
      </c>
      <c r="G132" s="32">
        <f>'MEMD 200'!D135</f>
        <v>47963.323360886097</v>
      </c>
      <c r="H132" s="32">
        <f>'MEMD 250'!D135</f>
        <v>56160.713336903566</v>
      </c>
      <c r="I132" s="32">
        <f>'MEMD 300'!D135</f>
        <v>63745.536897584003</v>
      </c>
      <c r="J132" s="32">
        <f>'MEMD 500'!D135</f>
        <v>90121.031046367556</v>
      </c>
      <c r="K132" s="50">
        <f>'MEMD 1000'!D135</f>
        <v>142161.27900725216</v>
      </c>
    </row>
    <row r="133" spans="2:11" x14ac:dyDescent="0.25">
      <c r="B133" s="9" t="str">
        <f>'MEMD 50'!C136</f>
        <v>Combustion efficiency</v>
      </c>
      <c r="C133" s="85">
        <f>'MEMD 50'!I136</f>
        <v>0</v>
      </c>
      <c r="D133" s="32">
        <f>'MEMD 50'!D136</f>
        <v>99</v>
      </c>
      <c r="E133" s="32">
        <f>'MEMD 100'!D136</f>
        <v>99</v>
      </c>
      <c r="F133" s="32">
        <f>'MEMD 150'!D136</f>
        <v>99</v>
      </c>
      <c r="G133" s="32">
        <f>'MEMD 200'!D136</f>
        <v>99</v>
      </c>
      <c r="H133" s="32">
        <f>'MEMD 250'!D136</f>
        <v>99</v>
      </c>
      <c r="I133" s="32">
        <f>'MEMD 300'!D136</f>
        <v>99</v>
      </c>
      <c r="J133" s="32">
        <f>'MEMD 500'!D136</f>
        <v>99</v>
      </c>
      <c r="K133" s="50">
        <f>'MEMD 1000'!D136</f>
        <v>99</v>
      </c>
    </row>
    <row r="134" spans="2:11" x14ac:dyDescent="0.25">
      <c r="B134" s="9" t="str">
        <f>'MEMD 50'!C137</f>
        <v>Firepower actual</v>
      </c>
      <c r="C134" s="85">
        <f>'MEMD 50'!I137</f>
        <v>0</v>
      </c>
      <c r="D134" s="32">
        <f>'MEMD 50'!D137</f>
        <v>18117.031611580325</v>
      </c>
      <c r="E134" s="32">
        <f>'MEMD 100'!D137</f>
        <v>29459.123229203913</v>
      </c>
      <c r="F134" s="32">
        <f>'MEMD 150'!D137</f>
        <v>39148.244178170346</v>
      </c>
      <c r="G134" s="32">
        <f>'MEMD 200'!D137</f>
        <v>47483.690127277237</v>
      </c>
      <c r="H134" s="32">
        <f>'MEMD 250'!D137</f>
        <v>55599.106203534531</v>
      </c>
      <c r="I134" s="32">
        <f>'MEMD 300'!D137</f>
        <v>63108.081528608163</v>
      </c>
      <c r="J134" s="32">
        <f>'MEMD 500'!D137</f>
        <v>89219.820735903879</v>
      </c>
      <c r="K134" s="50">
        <f>'MEMD 1000'!D137</f>
        <v>140739.66621717965</v>
      </c>
    </row>
    <row r="135" spans="2:11" x14ac:dyDescent="0.25">
      <c r="B135" s="9"/>
      <c r="C135" s="85"/>
      <c r="D135" s="32"/>
      <c r="E135" s="32"/>
      <c r="F135" s="32"/>
      <c r="G135" s="32"/>
      <c r="H135" s="32"/>
      <c r="I135" s="32"/>
      <c r="J135" s="32"/>
      <c r="K135" s="50"/>
    </row>
    <row r="136" spans="2:11" x14ac:dyDescent="0.25">
      <c r="B136" s="62" t="str">
        <f>'MEMD 50'!B139</f>
        <v>Fuel consumption</v>
      </c>
      <c r="C136" s="85"/>
      <c r="D136" s="32"/>
      <c r="E136" s="32"/>
      <c r="F136" s="32"/>
      <c r="G136" s="32"/>
      <c r="H136" s="32"/>
      <c r="I136" s="32"/>
      <c r="J136" s="32"/>
      <c r="K136" s="50"/>
    </row>
    <row r="137" spans="2:11" x14ac:dyDescent="0.25">
      <c r="B137" s="9" t="str">
        <f>'MEMD 50'!C140</f>
        <v>Species</v>
      </c>
      <c r="C137" s="85">
        <f>'MEMD 50'!I140</f>
        <v>0</v>
      </c>
      <c r="D137" s="32" t="str">
        <f>'MEMD 50'!D140</f>
        <v>E. Grandis</v>
      </c>
      <c r="E137" s="32" t="str">
        <f>'MEMD 100'!D140</f>
        <v>E. Grandis</v>
      </c>
      <c r="F137" s="32" t="str">
        <f>'MEMD 150'!D140</f>
        <v>E. Grandis</v>
      </c>
      <c r="G137" s="32" t="str">
        <f>'MEMD 200'!D140</f>
        <v>E. Grandis</v>
      </c>
      <c r="H137" s="32" t="str">
        <f>'MEMD 250'!D140</f>
        <v>E. Grandis</v>
      </c>
      <c r="I137" s="32" t="str">
        <f>'MEMD 300'!D140</f>
        <v>E. Grandis</v>
      </c>
      <c r="J137" s="32" t="str">
        <f>'MEMD 500'!D140</f>
        <v>E. Grandis</v>
      </c>
      <c r="K137" s="50" t="str">
        <f>'MEMD 1000'!D140</f>
        <v>E. Grandis</v>
      </c>
    </row>
    <row r="138" spans="2:11" x14ac:dyDescent="0.25">
      <c r="B138" s="9" t="str">
        <f>'MEMD 50'!C141</f>
        <v>Fuel moisture</v>
      </c>
      <c r="C138" s="85">
        <f>'MEMD 50'!I141</f>
        <v>0</v>
      </c>
      <c r="D138" s="32">
        <f>'MEMD 50'!D141</f>
        <v>14</v>
      </c>
      <c r="E138" s="32">
        <f>'MEMD 100'!D141</f>
        <v>14</v>
      </c>
      <c r="F138" s="32">
        <f>'MEMD 150'!D141</f>
        <v>14</v>
      </c>
      <c r="G138" s="32">
        <f>'MEMD 200'!D141</f>
        <v>14</v>
      </c>
      <c r="H138" s="32">
        <f>'MEMD 250'!D141</f>
        <v>14</v>
      </c>
      <c r="I138" s="32">
        <f>'MEMD 300'!D141</f>
        <v>14</v>
      </c>
      <c r="J138" s="32">
        <f>'MEMD 500'!D141</f>
        <v>14</v>
      </c>
      <c r="K138" s="50">
        <f>'MEMD 1000'!D141</f>
        <v>14</v>
      </c>
    </row>
    <row r="139" spans="2:11" x14ac:dyDescent="0.25">
      <c r="B139" s="9" t="str">
        <f>'MEMD 50'!C142</f>
        <v>Energy content HHV</v>
      </c>
      <c r="C139" s="85">
        <f>'MEMD 50'!I142</f>
        <v>0</v>
      </c>
      <c r="D139" s="32">
        <f>'MEMD 50'!D142</f>
        <v>20</v>
      </c>
      <c r="E139" s="32">
        <f>'MEMD 100'!D142</f>
        <v>20</v>
      </c>
      <c r="F139" s="32">
        <f>'MEMD 150'!D142</f>
        <v>20</v>
      </c>
      <c r="G139" s="32">
        <f>'MEMD 200'!D142</f>
        <v>20</v>
      </c>
      <c r="H139" s="32">
        <f>'MEMD 250'!D142</f>
        <v>20</v>
      </c>
      <c r="I139" s="32">
        <f>'MEMD 300'!D142</f>
        <v>20</v>
      </c>
      <c r="J139" s="32">
        <f>'MEMD 500'!D142</f>
        <v>20</v>
      </c>
      <c r="K139" s="50">
        <f>'MEMD 1000'!D142</f>
        <v>20</v>
      </c>
    </row>
    <row r="140" spans="2:11" x14ac:dyDescent="0.25">
      <c r="B140" s="9" t="str">
        <f>'MEMD 50'!C143</f>
        <v>Hydrogen content</v>
      </c>
      <c r="C140" s="85">
        <f>'MEMD 50'!I143</f>
        <v>0</v>
      </c>
      <c r="D140" s="82">
        <f>'MEMD 50'!D143</f>
        <v>5.85</v>
      </c>
      <c r="E140" s="82">
        <f>'MEMD 100'!D143</f>
        <v>5.85</v>
      </c>
      <c r="F140" s="82">
        <f>'MEMD 150'!D143</f>
        <v>5.85</v>
      </c>
      <c r="G140" s="82">
        <f>'MEMD 200'!D143</f>
        <v>5.85</v>
      </c>
      <c r="H140" s="82">
        <f>'MEMD 250'!D143</f>
        <v>5.85</v>
      </c>
      <c r="I140" s="82">
        <f>'MEMD 300'!D143</f>
        <v>5.85</v>
      </c>
      <c r="J140" s="82">
        <f>'MEMD 500'!D143</f>
        <v>5.85</v>
      </c>
      <c r="K140" s="51">
        <f>'MEMD 1000'!D143</f>
        <v>5.85</v>
      </c>
    </row>
    <row r="141" spans="2:11" x14ac:dyDescent="0.25">
      <c r="B141" s="9" t="str">
        <f>'MEMD 50'!C144</f>
        <v>CO2Max</v>
      </c>
      <c r="C141" s="85">
        <f>'MEMD 50'!I144</f>
        <v>0</v>
      </c>
      <c r="D141" s="82">
        <f>'MEMD 50'!D144</f>
        <v>19.399999999999999</v>
      </c>
      <c r="E141" s="82">
        <f>'MEMD 100'!D144</f>
        <v>19.399999999999999</v>
      </c>
      <c r="F141" s="82">
        <f>'MEMD 150'!D144</f>
        <v>19.399999999999999</v>
      </c>
      <c r="G141" s="82">
        <f>'MEMD 200'!D144</f>
        <v>19.399999999999999</v>
      </c>
      <c r="H141" s="82">
        <f>'MEMD 250'!D144</f>
        <v>19.399999999999999</v>
      </c>
      <c r="I141" s="82">
        <f>'MEMD 300'!D144</f>
        <v>19.399999999999999</v>
      </c>
      <c r="J141" s="82">
        <f>'MEMD 500'!D144</f>
        <v>19.399999999999999</v>
      </c>
      <c r="K141" s="51">
        <f>'MEMD 1000'!D144</f>
        <v>19.399999999999999</v>
      </c>
    </row>
    <row r="142" spans="2:11" x14ac:dyDescent="0.25">
      <c r="B142" s="9" t="str">
        <f>'MEMD 50'!C145</f>
        <v>Energy content LHV</v>
      </c>
      <c r="C142" s="85">
        <f>'MEMD 50'!I145</f>
        <v>0</v>
      </c>
      <c r="D142" s="82">
        <f>'MEMD 50'!D145</f>
        <v>18.635311999999999</v>
      </c>
      <c r="E142" s="82">
        <f>'MEMD 100'!D145</f>
        <v>18.635311999999999</v>
      </c>
      <c r="F142" s="82">
        <f>'MEMD 150'!D145</f>
        <v>18.635311999999999</v>
      </c>
      <c r="G142" s="82">
        <f>'MEMD 200'!D145</f>
        <v>18.635311999999999</v>
      </c>
      <c r="H142" s="82">
        <f>'MEMD 250'!D145</f>
        <v>18.635311999999999</v>
      </c>
      <c r="I142" s="82">
        <f>'MEMD 300'!D145</f>
        <v>18.635311999999999</v>
      </c>
      <c r="J142" s="82">
        <f>'MEMD 500'!D145</f>
        <v>18.635311999999999</v>
      </c>
      <c r="K142" s="51">
        <f>'MEMD 1000'!D145</f>
        <v>18.635311999999999</v>
      </c>
    </row>
    <row r="143" spans="2:11" x14ac:dyDescent="0.25">
      <c r="B143" s="9" t="str">
        <f>'MEMD 50'!C146</f>
        <v>MJ/kg as burned</v>
      </c>
      <c r="C143" s="85">
        <f>'MEMD 50'!I146</f>
        <v>0</v>
      </c>
      <c r="D143" s="32">
        <f>'MEMD 50'!D146</f>
        <v>15.663488319999999</v>
      </c>
      <c r="E143" s="32">
        <f>'MEMD 100'!D146</f>
        <v>15.663488319999999</v>
      </c>
      <c r="F143" s="32">
        <f>'MEMD 150'!D146</f>
        <v>15.663488319999999</v>
      </c>
      <c r="G143" s="32">
        <f>'MEMD 200'!D146</f>
        <v>15.663488319999999</v>
      </c>
      <c r="H143" s="32">
        <f>'MEMD 250'!D146</f>
        <v>15.663488319999999</v>
      </c>
      <c r="I143" s="32">
        <f>'MEMD 300'!D146</f>
        <v>15.663488319999999</v>
      </c>
      <c r="J143" s="32">
        <f>'MEMD 500'!D146</f>
        <v>15.663488319999999</v>
      </c>
      <c r="K143" s="50">
        <f>'MEMD 1000'!D146</f>
        <v>15.663488319999999</v>
      </c>
    </row>
    <row r="144" spans="2:11" x14ac:dyDescent="0.25">
      <c r="B144" s="9" t="str">
        <f>'MEMD 50'!C147</f>
        <v>Carbon content</v>
      </c>
      <c r="C144" s="85">
        <f>'MEMD 50'!I147</f>
        <v>0</v>
      </c>
      <c r="D144" s="32">
        <f>'MEMD 50'!D147</f>
        <v>45.6</v>
      </c>
      <c r="E144" s="32">
        <f>'MEMD 100'!D147</f>
        <v>45.6</v>
      </c>
      <c r="F144" s="32">
        <f>'MEMD 150'!D147</f>
        <v>45.6</v>
      </c>
      <c r="G144" s="32">
        <f>'MEMD 200'!D147</f>
        <v>45.6</v>
      </c>
      <c r="H144" s="32">
        <f>'MEMD 250'!D147</f>
        <v>45.6</v>
      </c>
      <c r="I144" s="32">
        <f>'MEMD 300'!D147</f>
        <v>45.6</v>
      </c>
      <c r="J144" s="32">
        <f>'MEMD 500'!D147</f>
        <v>45.6</v>
      </c>
      <c r="K144" s="50">
        <f>'MEMD 1000'!D147</f>
        <v>45.6</v>
      </c>
    </row>
    <row r="145" spans="2:11" x14ac:dyDescent="0.25">
      <c r="B145" s="9" t="str">
        <f>'MEMD 50'!C148&amp;" "&amp;'MEMD 50'!E148</f>
        <v>Emitted Carbon kg CO2/raw kg burned</v>
      </c>
      <c r="C145" s="85">
        <f>'MEMD 50'!I148</f>
        <v>0</v>
      </c>
      <c r="D145" s="82">
        <f>'MEMD 50'!D148</f>
        <v>1.4379200000000001</v>
      </c>
      <c r="E145" s="82">
        <f>'MEMD 100'!D148</f>
        <v>1.4379200000000001</v>
      </c>
      <c r="F145" s="82">
        <f>'MEMD 150'!D148</f>
        <v>1.4379200000000001</v>
      </c>
      <c r="G145" s="82">
        <f>'MEMD 200'!D148</f>
        <v>1.4379200000000001</v>
      </c>
      <c r="H145" s="82">
        <f>'MEMD 250'!D148</f>
        <v>1.4379200000000001</v>
      </c>
      <c r="I145" s="82">
        <f>'MEMD 300'!D148</f>
        <v>1.4379200000000001</v>
      </c>
      <c r="J145" s="82">
        <f>'MEMD 500'!D148</f>
        <v>1.4379200000000001</v>
      </c>
      <c r="K145" s="51">
        <f>'MEMD 1000'!D148</f>
        <v>1.4379200000000001</v>
      </c>
    </row>
    <row r="146" spans="2:11" x14ac:dyDescent="0.25">
      <c r="B146" s="9" t="str">
        <f>'MEMD 50'!C149</f>
        <v>Burn rate (moist fuel) kg/hr</v>
      </c>
      <c r="C146" s="85">
        <f>'MEMD 50'!I149</f>
        <v>0</v>
      </c>
      <c r="D146" s="32">
        <f>'MEMD 50'!D149</f>
        <v>4.1639073282552923</v>
      </c>
      <c r="E146" s="32">
        <f>'MEMD 100'!D149</f>
        <v>6.770704038494415</v>
      </c>
      <c r="F146" s="32">
        <f>'MEMD 150'!D149</f>
        <v>8.997592117552859</v>
      </c>
      <c r="G146" s="32">
        <f>'MEMD 200'!D149</f>
        <v>10.913359844622278</v>
      </c>
      <c r="H146" s="32">
        <f>'MEMD 250'!D149</f>
        <v>12.778557256441605</v>
      </c>
      <c r="I146" s="32">
        <f>'MEMD 300'!D149</f>
        <v>14.504374048844658</v>
      </c>
      <c r="J146" s="32">
        <f>'MEMD 500'!D149</f>
        <v>20.505735892760189</v>
      </c>
      <c r="K146" s="50">
        <f>'MEMD 1000'!D149</f>
        <v>32.346740906679898</v>
      </c>
    </row>
    <row r="147" spans="2:11" x14ac:dyDescent="0.25">
      <c r="B147" s="9"/>
      <c r="C147" s="85"/>
      <c r="D147" s="32"/>
      <c r="E147" s="32"/>
      <c r="F147" s="32"/>
      <c r="G147" s="32"/>
      <c r="H147" s="32"/>
      <c r="I147" s="32"/>
      <c r="J147" s="32"/>
      <c r="K147" s="50"/>
    </row>
    <row r="148" spans="2:11" x14ac:dyDescent="0.25">
      <c r="B148" s="62" t="str">
        <f>'MEMD 50'!B151</f>
        <v>Air demand</v>
      </c>
      <c r="C148" s="85"/>
      <c r="D148" s="32"/>
      <c r="E148" s="32"/>
      <c r="F148" s="32"/>
      <c r="G148" s="32"/>
      <c r="H148" s="32"/>
      <c r="I148" s="32"/>
      <c r="J148" s="32"/>
      <c r="K148" s="50"/>
    </row>
    <row r="149" spans="2:11" x14ac:dyDescent="0.25">
      <c r="B149" s="9" t="str">
        <f>'MEMD 50'!C152</f>
        <v>Air in and gases out</v>
      </c>
      <c r="C149" s="85">
        <f>'MEMD 50'!I152</f>
        <v>0</v>
      </c>
      <c r="D149" s="32"/>
      <c r="E149" s="32"/>
      <c r="F149" s="32"/>
      <c r="G149" s="32"/>
      <c r="H149" s="32"/>
      <c r="I149" s="32"/>
      <c r="J149" s="32"/>
      <c r="K149" s="50"/>
    </row>
    <row r="150" spans="2:11" x14ac:dyDescent="0.25">
      <c r="B150" s="9" t="str">
        <f>'MEMD 50'!C153</f>
        <v>m3 Air demand/kg</v>
      </c>
      <c r="C150" s="85">
        <f>'MEMD 50'!I153</f>
        <v>0</v>
      </c>
      <c r="D150" s="92">
        <f>'MEMD 50'!D153</f>
        <v>3.56</v>
      </c>
      <c r="E150" s="92">
        <f>'MEMD 100'!D153</f>
        <v>3.56</v>
      </c>
      <c r="F150" s="92">
        <f>'MEMD 150'!D153</f>
        <v>3.56</v>
      </c>
      <c r="G150" s="92">
        <f>'MEMD 200'!D153</f>
        <v>3.56</v>
      </c>
      <c r="H150" s="92">
        <f>'MEMD 250'!D153</f>
        <v>3.56</v>
      </c>
      <c r="I150" s="92">
        <f>'MEMD 300'!D153</f>
        <v>3.56</v>
      </c>
      <c r="J150" s="92">
        <f>'MEMD 500'!D153</f>
        <v>3.56</v>
      </c>
      <c r="K150" s="93">
        <f>'MEMD 1000'!D153</f>
        <v>3.56</v>
      </c>
    </row>
    <row r="151" spans="2:11" x14ac:dyDescent="0.25">
      <c r="B151" s="9" t="str">
        <f>'MEMD 50'!C154</f>
        <v>Emitted gas volume/kg</v>
      </c>
      <c r="C151" s="85">
        <f>'MEMD 50'!I154</f>
        <v>0</v>
      </c>
      <c r="D151" s="92">
        <f>'MEMD 50'!D154</f>
        <v>4.0999999999999996</v>
      </c>
      <c r="E151" s="92">
        <f>'MEMD 100'!D154</f>
        <v>4.0999999999999996</v>
      </c>
      <c r="F151" s="92">
        <f>'MEMD 150'!D154</f>
        <v>4.0999999999999996</v>
      </c>
      <c r="G151" s="92">
        <f>'MEMD 200'!D154</f>
        <v>4.0999999999999996</v>
      </c>
      <c r="H151" s="92">
        <f>'MEMD 250'!D154</f>
        <v>4.0999999999999996</v>
      </c>
      <c r="I151" s="92">
        <f>'MEMD 300'!D154</f>
        <v>4.0999999999999996</v>
      </c>
      <c r="J151" s="92">
        <f>'MEMD 500'!D154</f>
        <v>4.0999999999999996</v>
      </c>
      <c r="K151" s="93">
        <f>'MEMD 1000'!D154</f>
        <v>4.0999999999999996</v>
      </c>
    </row>
    <row r="152" spans="2:11" x14ac:dyDescent="0.25">
      <c r="B152" s="9" t="str">
        <f>'MEMD 50'!C155</f>
        <v>Excess air target [%]</v>
      </c>
      <c r="C152" s="85">
        <f>'MEMD 50'!I155</f>
        <v>0</v>
      </c>
      <c r="D152" s="32">
        <f>'MEMD 50'!D155</f>
        <v>100</v>
      </c>
      <c r="E152" s="32">
        <f>'MEMD 100'!D155</f>
        <v>100</v>
      </c>
      <c r="F152" s="32">
        <f>'MEMD 150'!D155</f>
        <v>100</v>
      </c>
      <c r="G152" s="32">
        <f>'MEMD 200'!D155</f>
        <v>100</v>
      </c>
      <c r="H152" s="32">
        <f>'MEMD 250'!D155</f>
        <v>100</v>
      </c>
      <c r="I152" s="32">
        <f>'MEMD 300'!D155</f>
        <v>100</v>
      </c>
      <c r="J152" s="32">
        <f>'MEMD 500'!D155</f>
        <v>100</v>
      </c>
      <c r="K152" s="50">
        <f>'MEMD 1000'!D155</f>
        <v>100</v>
      </c>
    </row>
    <row r="153" spans="2:11" x14ac:dyDescent="0.25">
      <c r="B153" s="9" t="str">
        <f>'MEMD 50'!C156</f>
        <v>Air input/kg burned</v>
      </c>
      <c r="C153" s="85">
        <f>'MEMD 50'!I156</f>
        <v>0</v>
      </c>
      <c r="D153" s="82">
        <f>'MEMD 50'!D156</f>
        <v>7.66</v>
      </c>
      <c r="E153" s="82">
        <f>'MEMD 100'!D156</f>
        <v>7.66</v>
      </c>
      <c r="F153" s="82">
        <f>'MEMD 150'!D156</f>
        <v>7.66</v>
      </c>
      <c r="G153" s="82">
        <f>'MEMD 200'!D156</f>
        <v>7.66</v>
      </c>
      <c r="H153" s="82">
        <f>'MEMD 250'!D156</f>
        <v>7.66</v>
      </c>
      <c r="I153" s="82">
        <f>'MEMD 300'!D156</f>
        <v>7.66</v>
      </c>
      <c r="J153" s="82">
        <f>'MEMD 500'!D156</f>
        <v>7.66</v>
      </c>
      <c r="K153" s="51">
        <f>'MEMD 1000'!D156</f>
        <v>7.66</v>
      </c>
    </row>
    <row r="154" spans="2:11" x14ac:dyDescent="0.25">
      <c r="B154" s="9" t="str">
        <f>'MEMD 50'!C157</f>
        <v>Gas output/kg burned</v>
      </c>
      <c r="C154" s="85">
        <f>'MEMD 50'!I157</f>
        <v>0</v>
      </c>
      <c r="D154" s="82">
        <f>'MEMD 50'!D157</f>
        <v>8.1999999999999993</v>
      </c>
      <c r="E154" s="82">
        <f>'MEMD 100'!D157</f>
        <v>8.1999999999999993</v>
      </c>
      <c r="F154" s="82">
        <f>'MEMD 150'!D157</f>
        <v>8.1999999999999993</v>
      </c>
      <c r="G154" s="82">
        <f>'MEMD 200'!D157</f>
        <v>8.1999999999999993</v>
      </c>
      <c r="H154" s="82">
        <f>'MEMD 250'!D157</f>
        <v>8.1999999999999993</v>
      </c>
      <c r="I154" s="82">
        <f>'MEMD 300'!D157</f>
        <v>8.1999999999999993</v>
      </c>
      <c r="J154" s="82">
        <f>'MEMD 500'!D157</f>
        <v>8.1999999999999993</v>
      </c>
      <c r="K154" s="51">
        <f>'MEMD 1000'!D157</f>
        <v>8.1999999999999993</v>
      </c>
    </row>
    <row r="155" spans="2:11" x14ac:dyDescent="0.25">
      <c r="B155" s="9" t="str">
        <f>'MEMD 50'!C158</f>
        <v>λ, total air demand</v>
      </c>
      <c r="C155" s="85">
        <f>'MEMD 50'!I158</f>
        <v>0</v>
      </c>
      <c r="D155" s="82">
        <f>'MEMD 50'!D158</f>
        <v>31.895530134435539</v>
      </c>
      <c r="E155" s="82">
        <f>'MEMD 100'!D158</f>
        <v>51.863592934867221</v>
      </c>
      <c r="F155" s="82">
        <f>'MEMD 150'!D158</f>
        <v>68.921555620454896</v>
      </c>
      <c r="G155" s="82">
        <f>'MEMD 200'!D158</f>
        <v>83.596336409806653</v>
      </c>
      <c r="H155" s="82">
        <f>'MEMD 250'!D158</f>
        <v>97.883748584342698</v>
      </c>
      <c r="I155" s="82">
        <f>'MEMD 300'!D158</f>
        <v>111.10350521415009</v>
      </c>
      <c r="J155" s="82">
        <f>'MEMD 500'!D158</f>
        <v>157.07393693854306</v>
      </c>
      <c r="K155" s="51">
        <f>'MEMD 1000'!D158</f>
        <v>247.77603534516803</v>
      </c>
    </row>
    <row r="156" spans="2:11" x14ac:dyDescent="0.25">
      <c r="B156" s="9" t="str">
        <f>'MEMD 50'!C159</f>
        <v>Gas output total</v>
      </c>
      <c r="C156" s="85">
        <f>'MEMD 50'!I159</f>
        <v>0</v>
      </c>
      <c r="D156" s="82">
        <f>'MEMD 50'!D159</f>
        <v>34.144040091693391</v>
      </c>
      <c r="E156" s="82">
        <f>'MEMD 100'!D159</f>
        <v>55.519773115654196</v>
      </c>
      <c r="F156" s="82">
        <f>'MEMD 150'!D159</f>
        <v>73.780255363933435</v>
      </c>
      <c r="G156" s="82">
        <f>'MEMD 200'!D159</f>
        <v>89.489550725902674</v>
      </c>
      <c r="H156" s="82">
        <f>'MEMD 250'!D159</f>
        <v>104.78416950282116</v>
      </c>
      <c r="I156" s="82">
        <f>'MEMD 300'!D159</f>
        <v>118.93586720052619</v>
      </c>
      <c r="J156" s="82">
        <f>'MEMD 500'!D159</f>
        <v>168.14703432063354</v>
      </c>
      <c r="K156" s="51">
        <f>'MEMD 1000'!D159</f>
        <v>265.24327543477511</v>
      </c>
    </row>
    <row r="157" spans="2:11" x14ac:dyDescent="0.25">
      <c r="B157" s="9"/>
      <c r="C157" s="85"/>
      <c r="D157" s="32"/>
      <c r="E157" s="32"/>
      <c r="F157" s="32"/>
      <c r="G157" s="32"/>
      <c r="H157" s="32"/>
      <c r="I157" s="32"/>
      <c r="J157" s="32"/>
      <c r="K157" s="50"/>
    </row>
    <row r="158" spans="2:11" x14ac:dyDescent="0.25">
      <c r="B158" s="62" t="str">
        <f>'MEMD 50'!B161</f>
        <v>Gas flow</v>
      </c>
      <c r="C158" s="85"/>
      <c r="D158" s="32"/>
      <c r="E158" s="32"/>
      <c r="F158" s="32"/>
      <c r="G158" s="32"/>
      <c r="H158" s="32"/>
      <c r="I158" s="32"/>
      <c r="J158" s="32"/>
      <c r="K158" s="50"/>
    </row>
    <row r="159" spans="2:11" x14ac:dyDescent="0.25">
      <c r="B159" s="9" t="str">
        <f>'MEMD 50'!C162</f>
        <v>Air inflow rate</v>
      </c>
      <c r="C159" s="85">
        <f>'MEMD 50'!I162</f>
        <v>0</v>
      </c>
      <c r="D159" s="32">
        <f>'MEMD 50'!D162</f>
        <v>8.8598694817876495</v>
      </c>
      <c r="E159" s="32">
        <f>'MEMD 100'!D162</f>
        <v>14.406553593018673</v>
      </c>
      <c r="F159" s="32">
        <f>'MEMD 150'!D162</f>
        <v>19.144876561237471</v>
      </c>
      <c r="G159" s="32">
        <f>'MEMD 200'!D162</f>
        <v>23.221204558279627</v>
      </c>
      <c r="H159" s="32">
        <f>'MEMD 250'!D162</f>
        <v>27.189930162317417</v>
      </c>
      <c r="I159" s="32">
        <f>'MEMD 300'!D162</f>
        <v>30.862084781708358</v>
      </c>
      <c r="J159" s="32">
        <f>'MEMD 500'!D162</f>
        <v>43.63164914959529</v>
      </c>
      <c r="K159" s="50">
        <f>'MEMD 1000'!D162</f>
        <v>68.826676484768896</v>
      </c>
    </row>
    <row r="160" spans="2:11" x14ac:dyDescent="0.25">
      <c r="B160" s="9" t="str">
        <f>'MEMD 50'!C163</f>
        <v>Hot gas temperature</v>
      </c>
      <c r="C160" s="85">
        <f>'MEMD 50'!I163</f>
        <v>0</v>
      </c>
      <c r="D160" s="32">
        <f>'MEMD 50'!D163</f>
        <v>900</v>
      </c>
      <c r="E160" s="32">
        <f>'MEMD 100'!D163</f>
        <v>900</v>
      </c>
      <c r="F160" s="32">
        <f>'MEMD 150'!D163</f>
        <v>900</v>
      </c>
      <c r="G160" s="32">
        <f>'MEMD 200'!D163</f>
        <v>900</v>
      </c>
      <c r="H160" s="32">
        <f>'MEMD 250'!D163</f>
        <v>900</v>
      </c>
      <c r="I160" s="32">
        <f>'MEMD 300'!D163</f>
        <v>900</v>
      </c>
      <c r="J160" s="32">
        <f>'MEMD 500'!D163</f>
        <v>900</v>
      </c>
      <c r="K160" s="50">
        <f>'MEMD 1000'!D163</f>
        <v>900</v>
      </c>
    </row>
    <row r="161" spans="2:11" x14ac:dyDescent="0.25">
      <c r="B161" s="9" t="str">
        <f>'MEMD 50'!C164</f>
        <v>Density at 900°C</v>
      </c>
      <c r="C161" s="85"/>
      <c r="D161" s="89">
        <f>'MEMD 50'!D164</f>
        <v>0.3009</v>
      </c>
      <c r="E161" s="89">
        <f>'MEMD 100'!D164</f>
        <v>0.3009</v>
      </c>
      <c r="F161" s="89">
        <f>'MEMD 150'!D164</f>
        <v>0.3009</v>
      </c>
      <c r="G161" s="89">
        <f>'MEMD 200'!D164</f>
        <v>0.3009</v>
      </c>
      <c r="H161" s="89">
        <f>'MEMD 250'!D164</f>
        <v>0.3009</v>
      </c>
      <c r="I161" s="89">
        <f>'MEMD 300'!D164</f>
        <v>0.3009</v>
      </c>
      <c r="J161" s="89">
        <f>'MEMD 500'!D164</f>
        <v>0.3009</v>
      </c>
      <c r="K161" s="90">
        <f>'MEMD 1000'!D164</f>
        <v>0.3009</v>
      </c>
    </row>
    <row r="162" spans="2:11" x14ac:dyDescent="0.25">
      <c r="B162" s="9" t="str">
        <f>'MEMD 50'!C165</f>
        <v>Hot gas outflow rate/hr</v>
      </c>
      <c r="C162" s="85"/>
      <c r="D162" s="32">
        <f>'MEMD 50'!D165</f>
        <v>113.47304782882483</v>
      </c>
      <c r="E162" s="32">
        <f>'MEMD 100'!D165</f>
        <v>184.51237326571683</v>
      </c>
      <c r="F162" s="32">
        <f>'MEMD 150'!D165</f>
        <v>245.19858878010447</v>
      </c>
      <c r="G162" s="32">
        <f>'MEMD 200'!D165</f>
        <v>297.40628356896866</v>
      </c>
      <c r="H162" s="32">
        <f>'MEMD 250'!D165</f>
        <v>348.23585743709259</v>
      </c>
      <c r="I162" s="32">
        <f>'MEMD 300'!D165</f>
        <v>395.26708940021996</v>
      </c>
      <c r="J162" s="32">
        <f>'MEMD 500'!D165</f>
        <v>558.81367338196594</v>
      </c>
      <c r="K162" s="50">
        <f>'MEMD 1000'!D165</f>
        <v>881.49975219267242</v>
      </c>
    </row>
    <row r="163" spans="2:11" x14ac:dyDescent="0.25">
      <c r="B163" s="9" t="str">
        <f>'MEMD 50'!C166</f>
        <v>Hot gas outflow volume</v>
      </c>
      <c r="C163" s="85"/>
      <c r="D163" s="32">
        <f>'MEMD 50'!D166</f>
        <v>31.520291063562453</v>
      </c>
      <c r="E163" s="32">
        <f>'MEMD 100'!D166</f>
        <v>51.253437018254672</v>
      </c>
      <c r="F163" s="32">
        <f>'MEMD 150'!D166</f>
        <v>68.110719105584579</v>
      </c>
      <c r="G163" s="32">
        <f>'MEMD 200'!D166</f>
        <v>82.612856546935731</v>
      </c>
      <c r="H163" s="32">
        <f>'MEMD 250'!D166</f>
        <v>96.732182621414609</v>
      </c>
      <c r="I163" s="32">
        <f>'MEMD 300'!D166</f>
        <v>109.79641372228332</v>
      </c>
      <c r="J163" s="32">
        <f>'MEMD 500'!D166</f>
        <v>155.22602038387942</v>
      </c>
      <c r="K163" s="50">
        <f>'MEMD 1000'!D166</f>
        <v>244.86104227574234</v>
      </c>
    </row>
    <row r="164" spans="2:11" x14ac:dyDescent="0.25">
      <c r="B164" s="9" t="str">
        <f>'MEMD 50'!C167</f>
        <v>Hot gas velocity in upper chamber</v>
      </c>
      <c r="C164" s="85"/>
      <c r="D164" s="82">
        <f>'MEMD 50'!D167</f>
        <v>1.3707636686394193</v>
      </c>
      <c r="E164" s="82">
        <f>'MEMD 100'!D167</f>
        <v>1.3707636686394191</v>
      </c>
      <c r="F164" s="82">
        <f>'MEMD 150'!D167</f>
        <v>1.3592308012350012</v>
      </c>
      <c r="G164" s="82">
        <f>'MEMD 200'!D167</f>
        <v>1.3707636686394189</v>
      </c>
      <c r="H164" s="82">
        <f>'MEMD 250'!D167</f>
        <v>1.3707636686394193</v>
      </c>
      <c r="I164" s="82">
        <f>'MEMD 300'!D167</f>
        <v>1.3707636686394193</v>
      </c>
      <c r="J164" s="82">
        <f>'MEMD 500'!D167</f>
        <v>1.3707636686394191</v>
      </c>
      <c r="K164" s="51">
        <f>'MEMD 1000'!D167</f>
        <v>1.3707636686394189</v>
      </c>
    </row>
    <row r="165" spans="2:11" x14ac:dyDescent="0.25">
      <c r="B165" s="9" t="str">
        <f>'MEMD 50'!C168</f>
        <v>Gap under pot</v>
      </c>
      <c r="C165" s="85"/>
      <c r="D165" s="32">
        <f>'MEMD 50'!D168</f>
        <v>53.074005041514162</v>
      </c>
      <c r="E165" s="32">
        <f>'MEMD 100'!D168</f>
        <v>67.678114191669422</v>
      </c>
      <c r="F165" s="32">
        <f>'MEMD 150'!D168</f>
        <v>78.348227083560161</v>
      </c>
      <c r="G165" s="32">
        <f>'MEMD 200'!D168</f>
        <v>85.923225421911084</v>
      </c>
      <c r="H165" s="32">
        <f>'MEMD 250'!D168</f>
        <v>92.976296985139072</v>
      </c>
      <c r="I165" s="32">
        <f>'MEMD 300'!D168</f>
        <v>42.392755010395007</v>
      </c>
      <c r="J165" s="32">
        <f>'MEMD 500'!D168</f>
        <v>117.77931209957744</v>
      </c>
      <c r="K165" s="50">
        <f>'MEMD 1000'!D168</f>
        <v>147.92671011257161</v>
      </c>
    </row>
    <row r="166" spans="2:11" x14ac:dyDescent="0.25">
      <c r="B166" s="9" t="str">
        <f>'MEMD 50'!C169</f>
        <v>Gas velocity at full width under pot</v>
      </c>
      <c r="C166" s="85"/>
      <c r="D166" s="82">
        <f>'MEMD 50'!D169</f>
        <v>1.4939205752936768</v>
      </c>
      <c r="E166" s="82">
        <f>'MEMD 100'!D169</f>
        <v>1.7240391189220885</v>
      </c>
      <c r="F166" s="82">
        <f>'MEMD 150'!D169</f>
        <v>1.8506214122472886</v>
      </c>
      <c r="G166" s="82">
        <f>'MEMD 200'!D169</f>
        <v>1.956619586880586</v>
      </c>
      <c r="H166" s="82">
        <f>'MEMD 250'!D169</f>
        <v>2.0338249506510868</v>
      </c>
      <c r="I166" s="82">
        <f>'MEMD 300'!D169</f>
        <v>2.0956543813004069</v>
      </c>
      <c r="J166" s="82">
        <f>'MEMD 500'!D169</f>
        <v>2.2628978848829515</v>
      </c>
      <c r="K166" s="51">
        <f>'MEMD 1000'!D169</f>
        <v>2.4759431464609976</v>
      </c>
    </row>
    <row r="167" spans="2:11" x14ac:dyDescent="0.25">
      <c r="B167" s="9" t="str">
        <f>'MEMD 50'!C170</f>
        <v>Pot corner gas temperature</v>
      </c>
      <c r="C167" s="85"/>
      <c r="D167" s="32">
        <f>'MEMD 50'!D170</f>
        <v>535</v>
      </c>
      <c r="E167" s="32">
        <f>'MEMD 100'!D170</f>
        <v>535</v>
      </c>
      <c r="F167" s="32">
        <f>'MEMD 150'!D170</f>
        <v>535</v>
      </c>
      <c r="G167" s="32">
        <f>'MEMD 200'!D170</f>
        <v>535</v>
      </c>
      <c r="H167" s="32">
        <f>'MEMD 250'!D170</f>
        <v>535</v>
      </c>
      <c r="I167" s="32">
        <f>'MEMD 300'!D170</f>
        <v>535</v>
      </c>
      <c r="J167" s="32">
        <f>'MEMD 500'!D170</f>
        <v>535</v>
      </c>
      <c r="K167" s="50">
        <f>'MEMD 1000'!D170</f>
        <v>535</v>
      </c>
    </row>
    <row r="168" spans="2:11" x14ac:dyDescent="0.25">
      <c r="B168" s="9" t="str">
        <f>'MEMD 50'!C171</f>
        <v>Resulting gas density</v>
      </c>
      <c r="C168" s="85">
        <f>'MEMD 50'!I171</f>
        <v>0</v>
      </c>
      <c r="D168" s="89">
        <f>'MEMD 50'!D171</f>
        <v>0.43840000000000001</v>
      </c>
      <c r="E168" s="89">
        <f>'MEMD 100'!D171</f>
        <v>0.43840000000000001</v>
      </c>
      <c r="F168" s="89">
        <f>'MEMD 150'!D171</f>
        <v>0.43840000000000001</v>
      </c>
      <c r="G168" s="89">
        <f>'MEMD 200'!D171</f>
        <v>0.43840000000000001</v>
      </c>
      <c r="H168" s="89">
        <f>'MEMD 250'!D171</f>
        <v>0.43840000000000001</v>
      </c>
      <c r="I168" s="89">
        <f>'MEMD 300'!D171</f>
        <v>0.43840000000000001</v>
      </c>
      <c r="J168" s="89">
        <f>'MEMD 500'!D171</f>
        <v>0.43840000000000001</v>
      </c>
      <c r="K168" s="90">
        <f>'MEMD 1000'!D171</f>
        <v>0.43840000000000001</v>
      </c>
    </row>
    <row r="169" spans="2:11" x14ac:dyDescent="0.25">
      <c r="B169" s="9" t="str">
        <f>'MEMD 50'!C172</f>
        <v>Gas outflow rate/hr</v>
      </c>
      <c r="C169" s="85">
        <f>'MEMD 50'!I172</f>
        <v>0</v>
      </c>
      <c r="D169" s="32">
        <f>'MEMD 50'!D172</f>
        <v>77.883303128862664</v>
      </c>
      <c r="E169" s="32">
        <f>'MEMD 100'!D172</f>
        <v>126.6418182382623</v>
      </c>
      <c r="F169" s="32">
        <f>'MEMD 150'!D172</f>
        <v>168.29437811116205</v>
      </c>
      <c r="G169" s="32">
        <f>'MEMD 200'!D172</f>
        <v>204.12762483098237</v>
      </c>
      <c r="H169" s="32">
        <f>'MEMD 250'!D172</f>
        <v>239.0149851797928</v>
      </c>
      <c r="I169" s="32">
        <f>'MEMD 300'!D172</f>
        <v>271.29531751944842</v>
      </c>
      <c r="J169" s="32">
        <f>'MEMD 500'!D172</f>
        <v>383.54706733721156</v>
      </c>
      <c r="K169" s="50">
        <f>'MEMD 1000'!D172</f>
        <v>605.02571951362938</v>
      </c>
    </row>
    <row r="170" spans="2:11" x14ac:dyDescent="0.25">
      <c r="B170" s="9" t="str">
        <f>'MEMD 50'!C173</f>
        <v>Gas outflow volume</v>
      </c>
      <c r="C170" s="85">
        <f>'MEMD 50'!I173</f>
        <v>0</v>
      </c>
      <c r="D170" s="32">
        <f>'MEMD 50'!D173</f>
        <v>21.634250869128515</v>
      </c>
      <c r="E170" s="32">
        <f>'MEMD 100'!D173</f>
        <v>35.178282843961753</v>
      </c>
      <c r="F170" s="32">
        <f>'MEMD 150'!D173</f>
        <v>46.74843836421168</v>
      </c>
      <c r="G170" s="32">
        <f>'MEMD 200'!D173</f>
        <v>56.702118008606213</v>
      </c>
      <c r="H170" s="32">
        <f>'MEMD 250'!D173</f>
        <v>66.393051438831336</v>
      </c>
      <c r="I170" s="32">
        <f>'MEMD 300'!D173</f>
        <v>75.359810422069003</v>
      </c>
      <c r="J170" s="32">
        <f>'MEMD 500'!D173</f>
        <v>106.54085203811432</v>
      </c>
      <c r="K170" s="50">
        <f>'MEMD 1000'!D173</f>
        <v>168.06269986489704</v>
      </c>
    </row>
    <row r="171" spans="2:11" x14ac:dyDescent="0.25">
      <c r="B171" s="9" t="str">
        <f>'MEMD 50'!C174</f>
        <v>Minimum vertical gap under the pot OD</v>
      </c>
      <c r="C171" s="85">
        <f>'MEMD 50'!I174</f>
        <v>0</v>
      </c>
      <c r="D171" s="32">
        <f>'MEMD 50'!D174</f>
        <v>22.08451247401247</v>
      </c>
      <c r="E171" s="32">
        <f>'MEMD 100'!D174</f>
        <v>28.531573596673596</v>
      </c>
      <c r="F171" s="32">
        <f>'MEMD 150'!D174</f>
        <v>33.379075459459465</v>
      </c>
      <c r="G171" s="32">
        <f>'MEMD 200'!D174</f>
        <v>36.59040000000001</v>
      </c>
      <c r="H171" s="32">
        <f>'MEMD 250'!D174</f>
        <v>39.706479542619533</v>
      </c>
      <c r="I171" s="32">
        <f>'MEMD 300'!D174</f>
        <v>42.392755010395007</v>
      </c>
      <c r="J171" s="32">
        <f>'MEMD 500'!D174</f>
        <v>50.666483451143428</v>
      </c>
      <c r="K171" s="50">
        <f>'MEMD 1000'!D174</f>
        <v>63.990409771309793</v>
      </c>
    </row>
    <row r="172" spans="2:11" x14ac:dyDescent="0.25">
      <c r="B172" s="9" t="str">
        <f>'MEMD 50'!C175</f>
        <v>Gas velocity at pot corner</v>
      </c>
      <c r="C172" s="85">
        <f>'MEMD 50'!I175</f>
        <v>0</v>
      </c>
      <c r="D172" s="82">
        <f>'MEMD 50'!D175</f>
        <v>0.67202617944082599</v>
      </c>
      <c r="E172" s="82">
        <f>'MEMD 100'!D175</f>
        <v>0.67202617944082577</v>
      </c>
      <c r="F172" s="82">
        <f>'MEMD 150'!D175</f>
        <v>0.66637211302726129</v>
      </c>
      <c r="G172" s="82">
        <f>'MEMD 200'!D175</f>
        <v>0.67202617944082577</v>
      </c>
      <c r="H172" s="82">
        <f>'MEMD 250'!D175</f>
        <v>0.67202617944082588</v>
      </c>
      <c r="I172" s="82">
        <f>'MEMD 300'!D175</f>
        <v>0.67202617944082588</v>
      </c>
      <c r="J172" s="82">
        <f>'MEMD 500'!D175</f>
        <v>0.67202617944082588</v>
      </c>
      <c r="K172" s="51">
        <f>'MEMD 1000'!D175</f>
        <v>0.67202617944082577</v>
      </c>
    </row>
    <row r="173" spans="2:11" x14ac:dyDescent="0.25">
      <c r="B173" s="9" t="str">
        <f>'MEMD 50'!C176</f>
        <v>Gap each side, Pot to body</v>
      </c>
      <c r="C173" s="85">
        <f>'MEMD 50'!I176</f>
        <v>0</v>
      </c>
      <c r="D173" s="32">
        <f>'MEMD 50'!D176</f>
        <v>40</v>
      </c>
      <c r="E173" s="32">
        <f>'MEMD 100'!D176</f>
        <v>40</v>
      </c>
      <c r="F173" s="32">
        <f>'MEMD 150'!D176</f>
        <v>40</v>
      </c>
      <c r="G173" s="32">
        <f>'MEMD 200'!D176</f>
        <v>40</v>
      </c>
      <c r="H173" s="32">
        <f>'MEMD 250'!D176</f>
        <v>40</v>
      </c>
      <c r="I173" s="32">
        <f>'MEMD 300'!D176</f>
        <v>40</v>
      </c>
      <c r="J173" s="32">
        <f>'MEMD 500'!D176</f>
        <v>40</v>
      </c>
      <c r="K173" s="50">
        <f>'MEMD 1000'!D176</f>
        <v>40</v>
      </c>
    </row>
    <row r="174" spans="2:11" x14ac:dyDescent="0.25">
      <c r="B174" s="9" t="str">
        <f>'MEMD 50'!C177</f>
        <v>Gas velocity up the side</v>
      </c>
      <c r="C174" s="85">
        <f>'MEMD 50'!I177</f>
        <v>0</v>
      </c>
      <c r="D174" s="82">
        <f>'MEMD 50'!D177</f>
        <v>0.34158709979285079</v>
      </c>
      <c r="E174" s="82">
        <f>'MEMD 100'!D177</f>
        <v>0.44862160289273512</v>
      </c>
      <c r="F174" s="82">
        <f>'MEMD 150'!D177</f>
        <v>0.52469993282729788</v>
      </c>
      <c r="G174" s="82">
        <f>'MEMD 200'!D177</f>
        <v>0.58297302098512027</v>
      </c>
      <c r="H174" s="82">
        <f>'MEMD 250'!D177</f>
        <v>0.63502297616853853</v>
      </c>
      <c r="I174" s="82">
        <f>'MEMD 300'!D177</f>
        <v>0.67992552942972828</v>
      </c>
      <c r="J174" s="82">
        <f>'MEMD 500'!D177</f>
        <v>0.81836405613359697</v>
      </c>
      <c r="K174" s="51">
        <f>'MEMD 1000'!D177</f>
        <v>1.041589152370249</v>
      </c>
    </row>
    <row r="175" spans="2:11" x14ac:dyDescent="0.25">
      <c r="B175" s="9"/>
      <c r="C175" s="85"/>
      <c r="D175" s="32"/>
      <c r="E175" s="32"/>
      <c r="F175" s="32"/>
      <c r="G175" s="32"/>
      <c r="H175" s="32"/>
      <c r="I175" s="32"/>
      <c r="J175" s="32"/>
      <c r="K175" s="50"/>
    </row>
    <row r="176" spans="2:11" x14ac:dyDescent="0.25">
      <c r="B176" s="62" t="str">
        <f>'MEMD 50'!B179</f>
        <v>Exhaust gases</v>
      </c>
      <c r="C176" s="85"/>
      <c r="D176" s="32"/>
      <c r="E176" s="32"/>
      <c r="F176" s="32"/>
      <c r="G176" s="32"/>
      <c r="H176" s="32"/>
      <c r="I176" s="32"/>
      <c r="J176" s="32"/>
      <c r="K176" s="50"/>
    </row>
    <row r="177" spans="2:11" x14ac:dyDescent="0.25">
      <c r="B177" s="9" t="str">
        <f>'MEMD 50'!C180</f>
        <v>Exhaust gas temperature</v>
      </c>
      <c r="C177" s="85">
        <f>'MEMD 50'!I180</f>
        <v>0</v>
      </c>
      <c r="D177" s="32">
        <f>'MEMD 50'!D180</f>
        <v>350</v>
      </c>
      <c r="E177" s="32">
        <f>'MEMD 100'!D180</f>
        <v>350</v>
      </c>
      <c r="F177" s="32">
        <f>'MEMD 150'!D180</f>
        <v>350</v>
      </c>
      <c r="G177" s="32">
        <f>'MEMD 200'!D180</f>
        <v>350</v>
      </c>
      <c r="H177" s="32">
        <f>'MEMD 250'!D180</f>
        <v>350</v>
      </c>
      <c r="I177" s="32">
        <f>'MEMD 300'!D180</f>
        <v>350</v>
      </c>
      <c r="J177" s="32">
        <f>'MEMD 500'!D180</f>
        <v>350</v>
      </c>
      <c r="K177" s="50">
        <f>'MEMD 1000'!D180</f>
        <v>350</v>
      </c>
    </row>
    <row r="178" spans="2:11" x14ac:dyDescent="0.25">
      <c r="B178" s="9" t="str">
        <f>'MEMD 50'!C181</f>
        <v>Resulting gas density</v>
      </c>
      <c r="C178" s="85">
        <f>'MEMD 50'!I181</f>
        <v>0</v>
      </c>
      <c r="D178" s="87">
        <f>'MEMD 50'!D181</f>
        <v>0.56699999999999995</v>
      </c>
      <c r="E178" s="87">
        <f>'MEMD 100'!D181</f>
        <v>0.56699999999999995</v>
      </c>
      <c r="F178" s="87">
        <f>'MEMD 150'!D181</f>
        <v>0.56699999999999995</v>
      </c>
      <c r="G178" s="87">
        <f>'MEMD 200'!D181</f>
        <v>0.56699999999999995</v>
      </c>
      <c r="H178" s="87">
        <f>'MEMD 250'!D181</f>
        <v>0.56699999999999995</v>
      </c>
      <c r="I178" s="87">
        <f>'MEMD 300'!D181</f>
        <v>0.56699999999999995</v>
      </c>
      <c r="J178" s="87">
        <f>'MEMD 500'!D181</f>
        <v>0.56699999999999995</v>
      </c>
      <c r="K178" s="88">
        <f>'MEMD 1000'!D181</f>
        <v>0.56699999999999995</v>
      </c>
    </row>
    <row r="179" spans="2:11" x14ac:dyDescent="0.25">
      <c r="B179" s="9" t="str">
        <f>'MEMD 50'!C182</f>
        <v>Gas volume</v>
      </c>
      <c r="C179" s="85">
        <f>'MEMD 50'!I182</f>
        <v>0</v>
      </c>
      <c r="D179" s="32">
        <f>'MEMD 50'!D182</f>
        <v>16.727434887170975</v>
      </c>
      <c r="E179" s="32">
        <f>'MEMD 100'!D182</f>
        <v>27.199575306512934</v>
      </c>
      <c r="F179" s="32">
        <f>'MEMD 150'!D182</f>
        <v>36.145529768730867</v>
      </c>
      <c r="G179" s="32">
        <f>'MEMD 200'!D182</f>
        <v>43.84163762781828</v>
      </c>
      <c r="H179" s="32">
        <f>'MEMD 250'!D182</f>
        <v>51.334592153057599</v>
      </c>
      <c r="I179" s="32">
        <f>'MEMD 300'!D182</f>
        <v>58.267620615582111</v>
      </c>
      <c r="J179" s="32">
        <f>'MEMD 500'!D182</f>
        <v>82.376560023825959</v>
      </c>
      <c r="K179" s="50">
        <f>'MEMD 1000'!D182</f>
        <v>129.94477534527491</v>
      </c>
    </row>
    <row r="180" spans="2:11" x14ac:dyDescent="0.25">
      <c r="B180" s="9" t="str">
        <f>'MEMD 50'!C183</f>
        <v>Chimney entrance hole width</v>
      </c>
      <c r="C180" s="85">
        <f>'MEMD 50'!I183</f>
        <v>0</v>
      </c>
      <c r="D180" s="32">
        <f>'MEMD 50'!D183</f>
        <v>102</v>
      </c>
      <c r="E180" s="32">
        <f>'MEMD 100'!D183</f>
        <v>120</v>
      </c>
      <c r="F180" s="32">
        <f>'MEMD 150'!D183</f>
        <v>140</v>
      </c>
      <c r="G180" s="32">
        <f>'MEMD 200'!D183</f>
        <v>152</v>
      </c>
      <c r="H180" s="32">
        <f>'MEMD 250'!D183</f>
        <v>152</v>
      </c>
      <c r="I180" s="32">
        <f>'MEMD 300'!D183</f>
        <v>178</v>
      </c>
      <c r="J180" s="32">
        <f>'MEMD 500'!D183</f>
        <v>204</v>
      </c>
      <c r="K180" s="50">
        <f>'MEMD 1000'!D183</f>
        <v>255</v>
      </c>
    </row>
    <row r="181" spans="2:11" x14ac:dyDescent="0.25">
      <c r="B181" s="9" t="str">
        <f>'MEMD 50'!C184</f>
        <v>Chimney entrance hole height</v>
      </c>
      <c r="C181" s="85">
        <f>'MEMD 50'!I184</f>
        <v>0</v>
      </c>
      <c r="D181" s="32">
        <f>'MEMD 50'!D184</f>
        <v>187.68</v>
      </c>
      <c r="E181" s="32">
        <f>'MEMD 100'!D184</f>
        <v>220.8</v>
      </c>
      <c r="F181" s="32">
        <f>'MEMD 150'!D184</f>
        <v>257.60000000000002</v>
      </c>
      <c r="G181" s="32">
        <f>'MEMD 200'!D184</f>
        <v>279.68</v>
      </c>
      <c r="H181" s="32">
        <f>'MEMD 250'!D184</f>
        <v>279.68</v>
      </c>
      <c r="I181" s="32">
        <f>'MEMD 300'!D184</f>
        <v>327.52000000000004</v>
      </c>
      <c r="J181" s="32">
        <f>'MEMD 500'!D184</f>
        <v>375.36</v>
      </c>
      <c r="K181" s="50">
        <f>'MEMD 1000'!D184</f>
        <v>469.20000000000005</v>
      </c>
    </row>
    <row r="182" spans="2:11" x14ac:dyDescent="0.25">
      <c r="B182" s="9" t="str">
        <f>'MEMD 50'!C185</f>
        <v>Gas velocity at edge of rectangular exit</v>
      </c>
      <c r="C182" s="85">
        <f>'MEMD 50'!I185</f>
        <v>0</v>
      </c>
      <c r="D182" s="82">
        <f>'MEMD 50'!D185</f>
        <v>1.1548905611137099</v>
      </c>
      <c r="E182" s="82">
        <f>'MEMD 100'!D185</f>
        <v>1.5962192081286932</v>
      </c>
      <c r="F182" s="82">
        <f>'MEMD 150'!D185</f>
        <v>1.8181856020488361</v>
      </c>
      <c r="G182" s="82">
        <f>'MEMD 200'!D185</f>
        <v>2.0312100457662288</v>
      </c>
      <c r="H182" s="82">
        <f>'MEMD 250'!D185</f>
        <v>2.3783632391149743</v>
      </c>
      <c r="I182" s="82">
        <f>'MEMD 300'!D185</f>
        <v>2.3052548115042772</v>
      </c>
      <c r="J182" s="82">
        <f>'MEMD 500'!D185</f>
        <v>2.8437089210102857</v>
      </c>
      <c r="K182" s="51">
        <f>'MEMD 1000'!D185</f>
        <v>3.5886433401070112</v>
      </c>
    </row>
    <row r="183" spans="2:11" x14ac:dyDescent="0.25">
      <c r="B183" s="9" t="str">
        <f>'MEMD 50'!C186</f>
        <v>Gas velocity in chimney @ 350°</v>
      </c>
      <c r="C183" s="85">
        <f>'MEMD 50'!I186</f>
        <v>0</v>
      </c>
      <c r="D183" s="82">
        <f>'MEMD 50'!D186</f>
        <v>2.0471003056832613</v>
      </c>
      <c r="E183" s="82">
        <f>'MEMD 100'!D186</f>
        <v>2.4049704777954375</v>
      </c>
      <c r="F183" s="82">
        <f>'MEMD 150'!D186</f>
        <v>2.34805703402807</v>
      </c>
      <c r="G183" s="82">
        <f>'MEMD 200'!D186</f>
        <v>2.4160711017004557</v>
      </c>
      <c r="H183" s="82">
        <f>'MEMD 250'!D186</f>
        <v>2.8290007246418072</v>
      </c>
      <c r="I183" s="82">
        <f>'MEMD 300'!D186</f>
        <v>2.3415174455682659</v>
      </c>
      <c r="J183" s="82">
        <f>'MEMD 500'!D186</f>
        <v>2.5203069440019457</v>
      </c>
      <c r="K183" s="51">
        <f>'MEMD 1000'!D186</f>
        <v>2.5444187097474944</v>
      </c>
    </row>
    <row r="184" spans="2:11" x14ac:dyDescent="0.25">
      <c r="B184" s="9"/>
      <c r="C184" s="85"/>
      <c r="D184" s="32"/>
      <c r="E184" s="32"/>
      <c r="F184" s="32"/>
      <c r="G184" s="32"/>
      <c r="H184" s="32"/>
      <c r="I184" s="32"/>
      <c r="J184" s="32"/>
      <c r="K184" s="50"/>
    </row>
    <row r="185" spans="2:11" x14ac:dyDescent="0.25">
      <c r="B185" s="62" t="str">
        <f>'MEMD 50'!B188</f>
        <v>Construction Drawings - Layer 1</v>
      </c>
      <c r="C185" s="85"/>
      <c r="D185" s="32"/>
      <c r="E185" s="32"/>
      <c r="F185" s="32"/>
      <c r="G185" s="32"/>
      <c r="H185" s="32"/>
      <c r="I185" s="32"/>
      <c r="J185" s="32"/>
      <c r="K185" s="50"/>
    </row>
    <row r="186" spans="2:11" x14ac:dyDescent="0.25">
      <c r="B186" s="9" t="str">
        <f>'MEMD 50'!C189</f>
        <v>Height of Layer 1 surface</v>
      </c>
      <c r="C186" s="85" t="str">
        <f>'MEMD 50'!I189</f>
        <v>H15</v>
      </c>
      <c r="D186" s="32">
        <f>'MEMD 50'!D189</f>
        <v>91.199999999999989</v>
      </c>
      <c r="E186" s="32">
        <f>'MEMD 100'!D189</f>
        <v>91.199999999999989</v>
      </c>
      <c r="F186" s="32">
        <f>'MEMD 150'!D189</f>
        <v>91.199999999999989</v>
      </c>
      <c r="G186" s="32">
        <f>'MEMD 200'!D189</f>
        <v>91.199999999999989</v>
      </c>
      <c r="H186" s="32">
        <f>'MEMD 250'!D189</f>
        <v>91.199999999999989</v>
      </c>
      <c r="I186" s="32">
        <f>'MEMD 300'!D189</f>
        <v>93.852757929059109</v>
      </c>
      <c r="J186" s="32">
        <f>'MEMD 500'!D189</f>
        <v>114.42781549404114</v>
      </c>
      <c r="K186" s="50">
        <f>'MEMD 1000'!D189</f>
        <v>147.55682429952924</v>
      </c>
    </row>
    <row r="187" spans="2:11" x14ac:dyDescent="0.25">
      <c r="B187" s="9" t="str">
        <f>'MEMD 50'!C190</f>
        <v>Front to back distance (Length)</v>
      </c>
      <c r="C187" s="85" t="str">
        <f>'MEMD 50'!I190</f>
        <v>L1</v>
      </c>
      <c r="D187" s="32">
        <f>'MEMD 50'!D190</f>
        <v>972.5</v>
      </c>
      <c r="E187" s="32">
        <f>'MEMD 100'!D190</f>
        <v>1092.5</v>
      </c>
      <c r="F187" s="32">
        <f>'MEMD 150'!D190</f>
        <v>1177.5</v>
      </c>
      <c r="G187" s="32">
        <f>'MEMD 200'!D190</f>
        <v>1242.5</v>
      </c>
      <c r="H187" s="32">
        <f>'MEMD 250'!D190</f>
        <v>1300.5</v>
      </c>
      <c r="I187" s="32">
        <f>'MEMD 300'!D190</f>
        <v>1360.5</v>
      </c>
      <c r="J187" s="32">
        <f>'MEMD 500'!D190</f>
        <v>1504.5</v>
      </c>
      <c r="K187" s="50">
        <f>'MEMD 1000'!D190</f>
        <v>1752.5</v>
      </c>
    </row>
    <row r="188" spans="2:11" x14ac:dyDescent="0.25">
      <c r="B188" s="9" t="str">
        <f>'MEMD 50'!C191</f>
        <v>Overall Width</v>
      </c>
      <c r="C188" s="85" t="str">
        <f>'MEMD 50'!I191</f>
        <v>W3</v>
      </c>
      <c r="D188" s="32">
        <f>'MEMD 50'!D191</f>
        <v>972.5</v>
      </c>
      <c r="E188" s="32">
        <f>'MEMD 100'!D191</f>
        <v>1092.5</v>
      </c>
      <c r="F188" s="32">
        <f>'MEMD 150'!D191</f>
        <v>1177.5</v>
      </c>
      <c r="G188" s="32">
        <f>'MEMD 200'!D191</f>
        <v>1242.5</v>
      </c>
      <c r="H188" s="32">
        <f>'MEMD 250'!D191</f>
        <v>1300.5</v>
      </c>
      <c r="I188" s="32">
        <f>'MEMD 300'!D191</f>
        <v>1360.5</v>
      </c>
      <c r="J188" s="32">
        <f>'MEMD 500'!D191</f>
        <v>1504.5</v>
      </c>
      <c r="K188" s="50">
        <f>'MEMD 1000'!D191</f>
        <v>1752.5</v>
      </c>
    </row>
    <row r="189" spans="2:11" x14ac:dyDescent="0.25">
      <c r="B189" s="9" t="str">
        <f>'MEMD 50'!C192</f>
        <v>Width of the Air tunnel</v>
      </c>
      <c r="C189" s="85" t="str">
        <f>'MEMD 50'!I192</f>
        <v>W12</v>
      </c>
      <c r="D189" s="32">
        <f>'MEMD 50'!D192</f>
        <v>151.64001440432619</v>
      </c>
      <c r="E189" s="32">
        <f>'MEMD 100'!D192</f>
        <v>193.36604054762694</v>
      </c>
      <c r="F189" s="32">
        <f>'MEMD 150'!D192</f>
        <v>223.85207738160048</v>
      </c>
      <c r="G189" s="32">
        <f>'MEMD 200'!D192</f>
        <v>245.49492977688882</v>
      </c>
      <c r="H189" s="32">
        <f>'MEMD 250'!D192</f>
        <v>265.64656281468308</v>
      </c>
      <c r="I189" s="32">
        <f>'MEMD 300'!D192</f>
        <v>283.01717061555371</v>
      </c>
      <c r="J189" s="32">
        <f>'MEMD 500'!D192</f>
        <v>336.51232028450698</v>
      </c>
      <c r="K189" s="50">
        <f>'MEMD 1000'!D192</f>
        <v>422.64774317877607</v>
      </c>
    </row>
    <row r="190" spans="2:11" x14ac:dyDescent="0.25">
      <c r="B190" s="9" t="str">
        <f>'MEMD 50'!C193</f>
        <v>Back of ash channel to rear of stove</v>
      </c>
      <c r="C190" s="85" t="str">
        <f>'MEMD 50'!I193</f>
        <v>CC L16</v>
      </c>
      <c r="D190" s="32">
        <f>'MEMD 50'!D193</f>
        <v>410.42999279783692</v>
      </c>
      <c r="E190" s="32">
        <f>'MEMD 100'!D193</f>
        <v>449.56697972618656</v>
      </c>
      <c r="F190" s="32">
        <f>'MEMD 150'!D193</f>
        <v>476.82396130919972</v>
      </c>
      <c r="G190" s="32">
        <f>'MEMD 200'!D193</f>
        <v>498.50253511155563</v>
      </c>
      <c r="H190" s="32">
        <f>'MEMD 250'!D193</f>
        <v>517.42671859265852</v>
      </c>
      <c r="I190" s="32">
        <f>'MEMD 300'!D193</f>
        <v>538.74141469222309</v>
      </c>
      <c r="J190" s="32">
        <f>'MEMD 500'!D193</f>
        <v>583.99383985774648</v>
      </c>
      <c r="K190" s="50">
        <f>'MEMD 1000'!D193</f>
        <v>664.92612841061191</v>
      </c>
    </row>
    <row r="191" spans="2:11" x14ac:dyDescent="0.25">
      <c r="B191" s="9" t="str">
        <f>'MEMD 50'!C194</f>
        <v>Length of ash channel</v>
      </c>
      <c r="C191" s="85" t="str">
        <f>'MEMD 50'!I194</f>
        <v>CC L17</v>
      </c>
      <c r="D191" s="32">
        <f>'MEMD 50'!D194</f>
        <v>562.07000720216308</v>
      </c>
      <c r="E191" s="32">
        <f>'MEMD 100'!D194</f>
        <v>642.93302027381344</v>
      </c>
      <c r="F191" s="32">
        <f>'MEMD 150'!D194</f>
        <v>700.67603869080028</v>
      </c>
      <c r="G191" s="32">
        <f>'MEMD 200'!D194</f>
        <v>743.99746488844437</v>
      </c>
      <c r="H191" s="32">
        <f>'MEMD 250'!D194</f>
        <v>783.07328140734148</v>
      </c>
      <c r="I191" s="32">
        <f>'MEMD 300'!D194</f>
        <v>821.75858530777691</v>
      </c>
      <c r="J191" s="32">
        <f>'MEMD 500'!D194</f>
        <v>920.50616014225352</v>
      </c>
      <c r="K191" s="50">
        <f>'MEMD 1000'!D194</f>
        <v>1087.5738715893881</v>
      </c>
    </row>
    <row r="192" spans="2:11" x14ac:dyDescent="0.25">
      <c r="B192" s="9" t="str">
        <f>'MEMD 50'!C195</f>
        <v>Back of grate to ash door</v>
      </c>
      <c r="C192" s="85" t="str">
        <f>'MEMD 50'!I195</f>
        <v>CC L18</v>
      </c>
      <c r="D192" s="32">
        <f>'MEMD 50'!D195</f>
        <v>191.07000720216308</v>
      </c>
      <c r="E192" s="32">
        <f>'MEMD 100'!D195</f>
        <v>222.93302027381344</v>
      </c>
      <c r="F192" s="32">
        <f>'MEMD 150'!D195</f>
        <v>280.67603869080028</v>
      </c>
      <c r="G192" s="32">
        <f>'MEMD 200'!D195</f>
        <v>323.99746488844437</v>
      </c>
      <c r="H192" s="32">
        <f>'MEMD 250'!D195</f>
        <v>363.07328140734148</v>
      </c>
      <c r="I192" s="32">
        <f>'MEMD 300'!D195</f>
        <v>401.75858530777691</v>
      </c>
      <c r="J192" s="32">
        <f>'MEMD 500'!D195</f>
        <v>500.50616014225352</v>
      </c>
      <c r="K192" s="50">
        <f>'MEMD 1000'!D195</f>
        <v>667.57387158938809</v>
      </c>
    </row>
    <row r="193" spans="2:11" x14ac:dyDescent="0.25">
      <c r="B193" s="9" t="str">
        <f>'MEMD 50'!C196</f>
        <v>Length to supports for grates</v>
      </c>
      <c r="C193" s="85" t="str">
        <f>'MEMD 50'!I196</f>
        <v>CC L19</v>
      </c>
      <c r="D193" s="32">
        <f>'MEMD 50'!D196</f>
        <v>371</v>
      </c>
      <c r="E193" s="32">
        <f>'MEMD 100'!D196</f>
        <v>420</v>
      </c>
      <c r="F193" s="32">
        <f>'MEMD 150'!D196</f>
        <v>420</v>
      </c>
      <c r="G193" s="32">
        <f>'MEMD 200'!D196</f>
        <v>420</v>
      </c>
      <c r="H193" s="32">
        <f>'MEMD 250'!D196</f>
        <v>420</v>
      </c>
      <c r="I193" s="32">
        <f>'MEMD 300'!D196</f>
        <v>420</v>
      </c>
      <c r="J193" s="32">
        <f>'MEMD 500'!D196</f>
        <v>420</v>
      </c>
      <c r="K193" s="50">
        <f>'MEMD 1000'!D196</f>
        <v>420</v>
      </c>
    </row>
    <row r="194" spans="2:11" x14ac:dyDescent="0.25">
      <c r="B194" s="9" t="str">
        <f>'MEMD 50'!C197</f>
        <v>Back wall each side of ash door</v>
      </c>
      <c r="C194" s="85" t="str">
        <f>'MEMD 50'!I197</f>
        <v>CC W14</v>
      </c>
      <c r="D194" s="32">
        <f>'MEMD 50'!D197</f>
        <v>410.42999279783692</v>
      </c>
      <c r="E194" s="32">
        <f>'MEMD 100'!D197</f>
        <v>449.56697972618656</v>
      </c>
      <c r="F194" s="32">
        <f>'MEMD 150'!D197</f>
        <v>476.82396130919977</v>
      </c>
      <c r="G194" s="32">
        <f>'MEMD 200'!D197</f>
        <v>498.50253511155557</v>
      </c>
      <c r="H194" s="32">
        <f>'MEMD 250'!D197</f>
        <v>517.42671859265852</v>
      </c>
      <c r="I194" s="32">
        <f>'MEMD 300'!D197</f>
        <v>538.74141469222309</v>
      </c>
      <c r="J194" s="32">
        <f>'MEMD 500'!D197</f>
        <v>583.99383985774648</v>
      </c>
      <c r="K194" s="50">
        <f>'MEMD 1000'!D197</f>
        <v>664.92612841061191</v>
      </c>
    </row>
    <row r="195" spans="2:11" x14ac:dyDescent="0.25">
      <c r="B195" s="9"/>
      <c r="C195" s="85"/>
      <c r="D195" s="32"/>
      <c r="E195" s="32"/>
      <c r="F195" s="32"/>
      <c r="G195" s="32"/>
      <c r="H195" s="32"/>
      <c r="I195" s="32"/>
      <c r="J195" s="32"/>
      <c r="K195" s="50"/>
    </row>
    <row r="196" spans="2:11" x14ac:dyDescent="0.25">
      <c r="B196" s="62" t="str">
        <f>'MEMD 50'!B199</f>
        <v>Construction Drawings - Layer 2</v>
      </c>
      <c r="C196" s="85"/>
      <c r="D196" s="32"/>
      <c r="E196" s="32"/>
      <c r="F196" s="32"/>
      <c r="G196" s="32"/>
      <c r="H196" s="32"/>
      <c r="I196" s="32"/>
      <c r="J196" s="32"/>
      <c r="K196" s="50"/>
    </row>
    <row r="197" spans="2:11" x14ac:dyDescent="0.25">
      <c r="B197" s="9" t="str">
        <f>'MEMD 50'!C200</f>
        <v>Height of Layer 2 surface</v>
      </c>
      <c r="C197" s="85" t="str">
        <f>'MEMD 50'!I200</f>
        <v>H13</v>
      </c>
      <c r="D197" s="32">
        <f>'MEMD 50'!D200</f>
        <v>177.2</v>
      </c>
      <c r="E197" s="32">
        <f>'MEMD 100'!D200</f>
        <v>186.2</v>
      </c>
      <c r="F197" s="32">
        <f>'MEMD 150'!D200</f>
        <v>186.2</v>
      </c>
      <c r="G197" s="32">
        <f>'MEMD 200'!D200</f>
        <v>179.2</v>
      </c>
      <c r="H197" s="32">
        <f>'MEMD 250'!D200</f>
        <v>186.2</v>
      </c>
      <c r="I197" s="32">
        <f>'MEMD 300'!D200</f>
        <v>193.85275792905912</v>
      </c>
      <c r="J197" s="32">
        <f>'MEMD 500'!D200</f>
        <v>209.42781549404114</v>
      </c>
      <c r="K197" s="50">
        <f>'MEMD 1000'!D200</f>
        <v>242.55682429952924</v>
      </c>
    </row>
    <row r="198" spans="2:11" x14ac:dyDescent="0.25">
      <c r="B198" s="9" t="str">
        <f>'MEMD 50'!C201</f>
        <v>Height of fuel shelf</v>
      </c>
      <c r="C198" s="85" t="str">
        <f>'MEMD 50'!I201</f>
        <v>W11</v>
      </c>
      <c r="D198" s="32">
        <f>'MEMD 50'!D201</f>
        <v>177.2</v>
      </c>
      <c r="E198" s="32">
        <f>'MEMD 100'!D201</f>
        <v>186.2</v>
      </c>
      <c r="F198" s="32">
        <f>'MEMD 150'!D201</f>
        <v>186.2</v>
      </c>
      <c r="G198" s="32">
        <f>'MEMD 200'!D201</f>
        <v>179.2</v>
      </c>
      <c r="H198" s="32">
        <f>'MEMD 250'!D201</f>
        <v>186.2</v>
      </c>
      <c r="I198" s="32">
        <f>'MEMD 300'!D201</f>
        <v>193.85275792905912</v>
      </c>
      <c r="J198" s="32">
        <f>'MEMD 500'!D201</f>
        <v>209.42781549404114</v>
      </c>
      <c r="K198" s="50">
        <f>'MEMD 1000'!D201</f>
        <v>242.55682429952924</v>
      </c>
    </row>
    <row r="199" spans="2:11" x14ac:dyDescent="0.25">
      <c r="B199" s="9" t="str">
        <f>'MEMD 50'!C202</f>
        <v>Front wall to back of the U-channels</v>
      </c>
      <c r="C199" s="85" t="str">
        <f>'MEMD 50'!I202</f>
        <v>EE L20</v>
      </c>
      <c r="D199" s="32">
        <f>'MEMD 50'!D202</f>
        <v>622</v>
      </c>
      <c r="E199" s="32">
        <f>'MEMD 100'!D202</f>
        <v>725</v>
      </c>
      <c r="F199" s="32">
        <f>'MEMD 150'!D202</f>
        <v>725</v>
      </c>
      <c r="G199" s="32">
        <f>'MEMD 200'!D202</f>
        <v>873</v>
      </c>
      <c r="H199" s="32">
        <f>'MEMD 250'!D202</f>
        <v>873</v>
      </c>
      <c r="I199" s="32">
        <f>'MEMD 300'!D202</f>
        <v>873</v>
      </c>
      <c r="J199" s="32">
        <f>'MEMD 500'!D202</f>
        <v>1021</v>
      </c>
      <c r="K199" s="50">
        <f>'MEMD 1000'!D202</f>
        <v>1169</v>
      </c>
    </row>
    <row r="200" spans="2:11" x14ac:dyDescent="0.25">
      <c r="B200" s="9" t="str">
        <f>'MEMD 50'!C203</f>
        <v>Width to accommodate the fire bricks</v>
      </c>
      <c r="C200" s="85" t="str">
        <f>'MEMD 50'!I203</f>
        <v>EE W15</v>
      </c>
      <c r="D200" s="32">
        <f>'MEMD 50'!D203</f>
        <v>555.9</v>
      </c>
      <c r="E200" s="32">
        <f>'MEMD 100'!D203</f>
        <v>595.9</v>
      </c>
      <c r="F200" s="32">
        <f>'MEMD 150'!D203</f>
        <v>595.9</v>
      </c>
      <c r="G200" s="32">
        <f>'MEMD 200'!D203</f>
        <v>595.9</v>
      </c>
      <c r="H200" s="32">
        <f>'MEMD 250'!D203</f>
        <v>595.9</v>
      </c>
      <c r="I200" s="32">
        <f>'MEMD 300'!D203</f>
        <v>595.9</v>
      </c>
      <c r="J200" s="32">
        <f>'MEMD 500'!D203</f>
        <v>595.9</v>
      </c>
      <c r="K200" s="50">
        <f>'MEMD 1000'!D203</f>
        <v>595.9</v>
      </c>
    </row>
    <row r="201" spans="2:11" x14ac:dyDescent="0.25">
      <c r="B201" s="9" t="str">
        <f>'MEMD 50'!C204</f>
        <v>Width to accommodate U-channels</v>
      </c>
      <c r="C201" s="85" t="str">
        <f>'MEMD 50'!I204</f>
        <v>EE H17</v>
      </c>
      <c r="D201" s="32">
        <f>'MEMD 50'!D204</f>
        <v>340</v>
      </c>
      <c r="E201" s="32">
        <f>'MEMD 100'!D204</f>
        <v>380</v>
      </c>
      <c r="F201" s="32">
        <f>'MEMD 150'!D204</f>
        <v>380</v>
      </c>
      <c r="G201" s="32">
        <f>'MEMD 200'!D204</f>
        <v>380</v>
      </c>
      <c r="H201" s="32">
        <f>'MEMD 250'!D204</f>
        <v>380</v>
      </c>
      <c r="I201" s="32">
        <f>'MEMD 300'!D204</f>
        <v>380</v>
      </c>
      <c r="J201" s="32">
        <f>'MEMD 500'!D204</f>
        <v>380</v>
      </c>
      <c r="K201" s="50">
        <f>'MEMD 1000'!D204</f>
        <v>380</v>
      </c>
    </row>
    <row r="202" spans="2:11" x14ac:dyDescent="0.25">
      <c r="B202" s="9"/>
      <c r="C202" s="85"/>
      <c r="D202" s="32"/>
      <c r="E202" s="32"/>
      <c r="F202" s="32"/>
      <c r="G202" s="32"/>
      <c r="H202" s="32"/>
      <c r="I202" s="32"/>
      <c r="J202" s="32"/>
      <c r="K202" s="50"/>
    </row>
    <row r="203" spans="2:11" x14ac:dyDescent="0.25">
      <c r="B203" s="62" t="str">
        <f>'MEMD 50'!B206</f>
        <v>Construction Drawings - Layer 3</v>
      </c>
      <c r="C203" s="85"/>
      <c r="D203" s="32"/>
      <c r="E203" s="32"/>
      <c r="F203" s="32"/>
      <c r="G203" s="32"/>
      <c r="H203" s="32"/>
      <c r="I203" s="32"/>
      <c r="J203" s="32"/>
      <c r="K203" s="50"/>
    </row>
    <row r="204" spans="2:11" x14ac:dyDescent="0.25">
      <c r="B204" s="9" t="str">
        <f>'MEMD 50'!C207</f>
        <v>Height of Layer 3 surface</v>
      </c>
      <c r="C204" s="85" t="str">
        <f>'MEMD 50'!I207</f>
        <v>H12</v>
      </c>
      <c r="D204" s="32">
        <f>'MEMD 50'!D207</f>
        <v>265.39999999999998</v>
      </c>
      <c r="E204" s="32">
        <f>'MEMD 100'!D207</f>
        <v>277.39999999999998</v>
      </c>
      <c r="F204" s="32">
        <f>'MEMD 150'!D207</f>
        <v>277.39999999999998</v>
      </c>
      <c r="G204" s="32">
        <f>'MEMD 200'!D207</f>
        <v>270.39999999999998</v>
      </c>
      <c r="H204" s="32">
        <f>'MEMD 250'!D207</f>
        <v>277.39999999999998</v>
      </c>
      <c r="I204" s="32">
        <f>'MEMD 300'!D207</f>
        <v>287.70551585811825</v>
      </c>
      <c r="J204" s="32">
        <f>'MEMD 500'!D207</f>
        <v>323.85563098808228</v>
      </c>
      <c r="K204" s="50">
        <f>'MEMD 1000'!D207</f>
        <v>390.11364859905848</v>
      </c>
    </row>
    <row r="205" spans="2:11" x14ac:dyDescent="0.25">
      <c r="B205" s="9" t="str">
        <f>'MEMD 50'!C208</f>
        <v>Arch width</v>
      </c>
      <c r="C205" s="85" t="str">
        <f>'MEMD 50'!I208</f>
        <v>GG H21</v>
      </c>
      <c r="D205" s="32">
        <f>'MEMD 50'!D208</f>
        <v>311.64001440432617</v>
      </c>
      <c r="E205" s="32">
        <f>'MEMD 100'!D208</f>
        <v>353.36604054762694</v>
      </c>
      <c r="F205" s="32">
        <f>'MEMD 150'!D208</f>
        <v>351.85207738160045</v>
      </c>
      <c r="G205" s="32">
        <f>'MEMD 200'!D208</f>
        <v>385.49492977688885</v>
      </c>
      <c r="H205" s="32">
        <f>'MEMD 250'!D208</f>
        <v>425.64656281468308</v>
      </c>
      <c r="I205" s="32">
        <f>'MEMD 300'!D208</f>
        <v>443.01717061555371</v>
      </c>
      <c r="J205" s="32">
        <f>'MEMD 500'!D208</f>
        <v>496.51232028450698</v>
      </c>
      <c r="K205" s="50">
        <f>'MEMD 1000'!D208</f>
        <v>582.64774317877607</v>
      </c>
    </row>
    <row r="206" spans="2:11" x14ac:dyDescent="0.25">
      <c r="B206" s="9" t="str">
        <f>'MEMD 50'!C209</f>
        <v>Arch depth</v>
      </c>
      <c r="C206" s="85" t="str">
        <f>'MEMD 50'!I209</f>
        <v>GG H22</v>
      </c>
      <c r="D206" s="32">
        <f>'MEMD 50'!D209</f>
        <v>122.94999999999999</v>
      </c>
      <c r="E206" s="32">
        <f>'MEMD 100'!D209</f>
        <v>122.94999999999999</v>
      </c>
      <c r="F206" s="32">
        <f>'MEMD 150'!D209</f>
        <v>122.94999999999999</v>
      </c>
      <c r="G206" s="32">
        <f>'MEMD 200'!D209</f>
        <v>122.94999999999999</v>
      </c>
      <c r="H206" s="32">
        <f>'MEMD 250'!D209</f>
        <v>122.94999999999999</v>
      </c>
      <c r="I206" s="32">
        <f>'MEMD 300'!D209</f>
        <v>122.94999999999999</v>
      </c>
      <c r="J206" s="32">
        <f>'MEMD 500'!D209</f>
        <v>122.94999999999999</v>
      </c>
      <c r="K206" s="50">
        <f>'MEMD 1000'!D209</f>
        <v>122.94999999999999</v>
      </c>
    </row>
    <row r="207" spans="2:11" x14ac:dyDescent="0.25">
      <c r="B207" s="9" t="str">
        <f>'MEMD 50'!C210</f>
        <v>Fuel chamber width</v>
      </c>
      <c r="C207" s="85" t="str">
        <f>'MEMD 50'!I210</f>
        <v>W10</v>
      </c>
      <c r="D207" s="32">
        <f>'MEMD 50'!D210</f>
        <v>151.64001440432619</v>
      </c>
      <c r="E207" s="32">
        <f>'MEMD 100'!D210</f>
        <v>193.36604054762694</v>
      </c>
      <c r="F207" s="32">
        <f>'MEMD 150'!D210</f>
        <v>223.85207738160048</v>
      </c>
      <c r="G207" s="32">
        <f>'MEMD 200'!D210</f>
        <v>245.49492977688882</v>
      </c>
      <c r="H207" s="32">
        <f>'MEMD 250'!D210</f>
        <v>265.64656281468308</v>
      </c>
      <c r="I207" s="32">
        <f>'MEMD 300'!D210</f>
        <v>283.01717061555371</v>
      </c>
      <c r="J207" s="32">
        <f>'MEMD 500'!D210</f>
        <v>336.51232028450698</v>
      </c>
      <c r="K207" s="50">
        <f>'MEMD 1000'!D210</f>
        <v>422.64774317877607</v>
      </c>
    </row>
    <row r="208" spans="2:11" x14ac:dyDescent="0.25">
      <c r="B208" s="9" t="str">
        <f>'MEMD 50'!C211</f>
        <v>Fuel chamber length</v>
      </c>
      <c r="C208" s="85" t="str">
        <f>'MEMD 50'!I211</f>
        <v>GG H23</v>
      </c>
      <c r="D208" s="32">
        <f>'MEMD 50'!D211</f>
        <v>562.07000720216308</v>
      </c>
      <c r="E208" s="32">
        <f>'MEMD 100'!D211</f>
        <v>642.93302027381344</v>
      </c>
      <c r="F208" s="32">
        <f>'MEMD 150'!D211</f>
        <v>700.67603869080028</v>
      </c>
      <c r="G208" s="32">
        <f>'MEMD 200'!D211</f>
        <v>743.99746488844437</v>
      </c>
      <c r="H208" s="32">
        <f>'MEMD 250'!D211</f>
        <v>783.07328140734148</v>
      </c>
      <c r="I208" s="32">
        <f>'MEMD 300'!D211</f>
        <v>821.75858530777691</v>
      </c>
      <c r="J208" s="32">
        <f>'MEMD 500'!D211</f>
        <v>920.50616014225352</v>
      </c>
      <c r="K208" s="50">
        <f>'MEMD 1000'!D211</f>
        <v>1087.5738715893881</v>
      </c>
    </row>
    <row r="209" spans="2:11" x14ac:dyDescent="0.25">
      <c r="B209" s="9"/>
      <c r="C209" s="85"/>
      <c r="D209" s="32"/>
      <c r="E209" s="32"/>
      <c r="F209" s="32"/>
      <c r="G209" s="32"/>
      <c r="H209" s="32"/>
      <c r="I209" s="32"/>
      <c r="J209" s="32"/>
      <c r="K209" s="50"/>
    </row>
    <row r="210" spans="2:11" x14ac:dyDescent="0.25">
      <c r="B210" s="62" t="str">
        <f>'MEMD 50'!B213</f>
        <v>Construction Drawings - Layer 4</v>
      </c>
      <c r="C210" s="85"/>
      <c r="D210" s="32"/>
      <c r="E210" s="32"/>
      <c r="F210" s="32"/>
      <c r="G210" s="32"/>
      <c r="H210" s="32"/>
      <c r="I210" s="32"/>
      <c r="J210" s="32"/>
      <c r="K210" s="50"/>
    </row>
    <row r="211" spans="2:11" x14ac:dyDescent="0.25">
      <c r="B211" s="9" t="str">
        <f>'MEMD 50'!C214</f>
        <v>Height of Layer 4 surface</v>
      </c>
      <c r="C211" s="85" t="str">
        <f>'MEMD 50'!I214</f>
        <v>H11</v>
      </c>
      <c r="D211" s="32">
        <f>'MEMD 50'!D214</f>
        <v>355.59999999999997</v>
      </c>
      <c r="E211" s="32">
        <f>'MEMD 100'!D214</f>
        <v>368.59999999999997</v>
      </c>
      <c r="F211" s="32">
        <f>'MEMD 150'!D214</f>
        <v>368.59999999999997</v>
      </c>
      <c r="G211" s="32">
        <f>'MEMD 200'!D214</f>
        <v>361.59999999999997</v>
      </c>
      <c r="H211" s="32">
        <f>'MEMD 250'!D214</f>
        <v>368.59999999999997</v>
      </c>
      <c r="I211" s="32">
        <f>'MEMD 300'!D214</f>
        <v>381.55827378717737</v>
      </c>
      <c r="J211" s="32">
        <f>'MEMD 500'!D214</f>
        <v>438.2834464821234</v>
      </c>
      <c r="K211" s="50">
        <f>'MEMD 1000'!D214</f>
        <v>537.67047289858772</v>
      </c>
    </row>
    <row r="212" spans="2:11" x14ac:dyDescent="0.25">
      <c r="B212" s="9" t="str">
        <f>'MEMD 50'!C215</f>
        <v>Height of lower combustion chamber</v>
      </c>
      <c r="C212" s="85">
        <f>'MEMD 50'!I215</f>
        <v>0</v>
      </c>
      <c r="D212" s="32">
        <f>'MEMD 50'!D215</f>
        <v>178.39999999999998</v>
      </c>
      <c r="E212" s="32">
        <f>'MEMD 100'!D215</f>
        <v>182.39999999999998</v>
      </c>
      <c r="F212" s="32">
        <f>'MEMD 150'!D215</f>
        <v>182.39999999999998</v>
      </c>
      <c r="G212" s="32">
        <f>'MEMD 200'!D215</f>
        <v>182.39999999999998</v>
      </c>
      <c r="H212" s="32">
        <f>'MEMD 250'!D215</f>
        <v>182.39999999999998</v>
      </c>
      <c r="I212" s="32">
        <f>'MEMD 300'!D215</f>
        <v>189.621504312421</v>
      </c>
      <c r="J212" s="32">
        <f>'MEMD 500'!D215</f>
        <v>228.85563098808225</v>
      </c>
      <c r="K212" s="50">
        <f>'MEMD 1000'!D215</f>
        <v>295.11364859905848</v>
      </c>
    </row>
    <row r="213" spans="2:11" x14ac:dyDescent="0.25">
      <c r="B213" s="9" t="str">
        <f>'MEMD 50'!C216</f>
        <v>Arch width</v>
      </c>
      <c r="C213" s="85" t="str">
        <f>'MEMD 50'!I216</f>
        <v>W5</v>
      </c>
      <c r="D213" s="32">
        <f>'MEMD 50'!D216</f>
        <v>311.64001440432617</v>
      </c>
      <c r="E213" s="32">
        <f>'MEMD 100'!D216</f>
        <v>353.36604054762694</v>
      </c>
      <c r="F213" s="32">
        <f>'MEMD 150'!D216</f>
        <v>351.85207738160045</v>
      </c>
      <c r="G213" s="32">
        <f>'MEMD 200'!D216</f>
        <v>385.49492977688885</v>
      </c>
      <c r="H213" s="32">
        <f>'MEMD 250'!D216</f>
        <v>425.64656281468308</v>
      </c>
      <c r="I213" s="32">
        <f>'MEMD 300'!D216</f>
        <v>443.01717061555371</v>
      </c>
      <c r="J213" s="32">
        <f>'MEMD 500'!D216</f>
        <v>496.51232028450698</v>
      </c>
      <c r="K213" s="50">
        <f>'MEMD 1000'!D216</f>
        <v>582.64774317877607</v>
      </c>
    </row>
    <row r="214" spans="2:11" x14ac:dyDescent="0.25">
      <c r="B214" s="9"/>
      <c r="C214" s="85"/>
      <c r="D214" s="32"/>
      <c r="E214" s="32"/>
      <c r="F214" s="32"/>
      <c r="G214" s="32"/>
      <c r="H214" s="32"/>
      <c r="I214" s="32"/>
      <c r="J214" s="32"/>
      <c r="K214" s="50"/>
    </row>
    <row r="215" spans="2:11" x14ac:dyDescent="0.25">
      <c r="B215" s="62" t="str">
        <f>'MEMD 50'!B218</f>
        <v>Construction Drawings - Layer 5</v>
      </c>
      <c r="C215" s="85"/>
      <c r="D215" s="32"/>
      <c r="E215" s="32"/>
      <c r="F215" s="32"/>
      <c r="G215" s="32"/>
      <c r="H215" s="32"/>
      <c r="I215" s="32"/>
      <c r="J215" s="32"/>
      <c r="K215" s="50"/>
    </row>
    <row r="216" spans="2:11" x14ac:dyDescent="0.25">
      <c r="B216" s="9" t="str">
        <f>'MEMD 50'!C219</f>
        <v>Height of Layer 5 surface</v>
      </c>
      <c r="C216" s="85" t="str">
        <f>'MEMD 50'!I219</f>
        <v>W5</v>
      </c>
      <c r="D216" s="32">
        <f>'MEMD 50'!D219</f>
        <v>446.79999999999995</v>
      </c>
      <c r="E216" s="32">
        <f>'MEMD 100'!D219</f>
        <v>459.79999999999995</v>
      </c>
      <c r="F216" s="32">
        <f>'MEMD 150'!D219</f>
        <v>459.79999999999995</v>
      </c>
      <c r="G216" s="32">
        <f>'MEMD 200'!D219</f>
        <v>447.79999999999995</v>
      </c>
      <c r="H216" s="32">
        <f>'MEMD 250'!D219</f>
        <v>454.79999999999995</v>
      </c>
      <c r="I216" s="32">
        <f>'MEMD 300'!D219</f>
        <v>475.41103171623649</v>
      </c>
      <c r="J216" s="32">
        <f>'MEMD 500'!D219</f>
        <v>547.71126197616456</v>
      </c>
      <c r="K216" s="50">
        <f>'MEMD 1000'!D219</f>
        <v>680.22729719811696</v>
      </c>
    </row>
    <row r="217" spans="2:11" x14ac:dyDescent="0.25">
      <c r="B217" s="9" t="str">
        <f>'MEMD 50'!C220</f>
        <v>Arch width</v>
      </c>
      <c r="C217" s="85" t="str">
        <f>'MEMD 50'!I220</f>
        <v>W5</v>
      </c>
      <c r="D217" s="32">
        <f>'MEMD 50'!D220</f>
        <v>163.64001440432617</v>
      </c>
      <c r="E217" s="32">
        <f>'MEMD 100'!D220</f>
        <v>205.36604054762694</v>
      </c>
      <c r="F217" s="32">
        <f>'MEMD 150'!D220</f>
        <v>203.85207738160045</v>
      </c>
      <c r="G217" s="32">
        <f>'MEMD 200'!D220</f>
        <v>237.49492977688885</v>
      </c>
      <c r="H217" s="32">
        <f>'MEMD 250'!D220</f>
        <v>277.64656281468308</v>
      </c>
      <c r="I217" s="32">
        <f>'MEMD 300'!D220</f>
        <v>295.01717061555371</v>
      </c>
      <c r="J217" s="32">
        <f>'MEMD 500'!D220</f>
        <v>348.51232028450698</v>
      </c>
      <c r="K217" s="50">
        <f>'MEMD 1000'!D220</f>
        <v>434.64774317877607</v>
      </c>
    </row>
    <row r="218" spans="2:11" x14ac:dyDescent="0.25">
      <c r="B218" s="9" t="str">
        <f>'MEMD 50'!C221</f>
        <v>Width to accommodate U-channels</v>
      </c>
      <c r="C218" s="85" t="str">
        <f>'MEMD 50'!I221</f>
        <v>W5</v>
      </c>
      <c r="D218" s="32">
        <f>'MEMD 50'!D221</f>
        <v>340</v>
      </c>
      <c r="E218" s="32">
        <f>'MEMD 100'!D221</f>
        <v>380</v>
      </c>
      <c r="F218" s="32">
        <f>'MEMD 150'!D221</f>
        <v>380</v>
      </c>
      <c r="G218" s="32">
        <f>'MEMD 200'!D221</f>
        <v>380</v>
      </c>
      <c r="H218" s="32">
        <f>'MEMD 250'!D221</f>
        <v>380</v>
      </c>
      <c r="I218" s="32">
        <f>'MEMD 300'!D221</f>
        <v>380</v>
      </c>
      <c r="J218" s="32">
        <f>'MEMD 500'!D221</f>
        <v>380</v>
      </c>
      <c r="K218" s="50">
        <f>'MEMD 1000'!D221</f>
        <v>380</v>
      </c>
    </row>
    <row r="219" spans="2:11" x14ac:dyDescent="0.25">
      <c r="B219" s="9" t="str">
        <f>'MEMD 50'!C222</f>
        <v>Tunnel length to upper combustion zone</v>
      </c>
      <c r="C219" s="85">
        <f>'MEMD 50'!I222</f>
        <v>0</v>
      </c>
      <c r="D219" s="32">
        <f>'MEMD 50'!D222</f>
        <v>410.42999279783692</v>
      </c>
      <c r="E219" s="32">
        <f>'MEMD 100'!D222</f>
        <v>449.5669797261865</v>
      </c>
      <c r="F219" s="32">
        <f>'MEMD 150'!D222</f>
        <v>476.82396130919983</v>
      </c>
      <c r="G219" s="32">
        <f>'MEMD 200'!D222</f>
        <v>498.50253511155552</v>
      </c>
      <c r="H219" s="32">
        <f>'MEMD 250'!D222</f>
        <v>517.4267185926584</v>
      </c>
      <c r="I219" s="32">
        <f>'MEMD 300'!D222</f>
        <v>538.7414146922232</v>
      </c>
      <c r="J219" s="32">
        <f>'MEMD 500'!D222</f>
        <v>583.99383985774648</v>
      </c>
      <c r="K219" s="50">
        <f>'MEMD 1000'!D222</f>
        <v>664.92612841061202</v>
      </c>
    </row>
    <row r="220" spans="2:11" x14ac:dyDescent="0.25">
      <c r="B220" s="9" t="str">
        <f>'MEMD 50'!C223</f>
        <v>Tunnel height to U-channels</v>
      </c>
      <c r="C220" s="85">
        <f>'MEMD 50'!I223</f>
        <v>0</v>
      </c>
      <c r="D220" s="32">
        <f>'MEMD 50'!D223</f>
        <v>181.39999999999998</v>
      </c>
      <c r="E220" s="32">
        <f>'MEMD 100'!D223</f>
        <v>185.39999999999998</v>
      </c>
      <c r="F220" s="32">
        <f>'MEMD 150'!D223</f>
        <v>185.39999999999998</v>
      </c>
      <c r="G220" s="32">
        <f>'MEMD 200'!D223</f>
        <v>185.39999999999998</v>
      </c>
      <c r="H220" s="32">
        <f>'MEMD 250'!D223</f>
        <v>185.39999999999998</v>
      </c>
      <c r="I220" s="32">
        <f>'MEMD 300'!D223</f>
        <v>189.621504312421</v>
      </c>
      <c r="J220" s="32">
        <f>'MEMD 500'!D223</f>
        <v>231.85563098808225</v>
      </c>
      <c r="K220" s="50">
        <f>'MEMD 1000'!D223</f>
        <v>298.11364859905848</v>
      </c>
    </row>
    <row r="221" spans="2:11" x14ac:dyDescent="0.25">
      <c r="B221" s="9" t="str">
        <f>'MEMD 50'!C224</f>
        <v>Upper combustion chamber length</v>
      </c>
      <c r="C221" s="85">
        <f>'MEMD 50'!I224</f>
        <v>0</v>
      </c>
      <c r="D221" s="32">
        <f>'MEMD 50'!D224</f>
        <v>151.64001440432617</v>
      </c>
      <c r="E221" s="32">
        <f>'MEMD 100'!D224</f>
        <v>193.36604054762694</v>
      </c>
      <c r="F221" s="32">
        <f>'MEMD 150'!D224</f>
        <v>223.85207738160045</v>
      </c>
      <c r="G221" s="32">
        <f>'MEMD 200'!D224</f>
        <v>245.49492977688885</v>
      </c>
      <c r="H221" s="32">
        <f>'MEMD 250'!D224</f>
        <v>265.64656281468308</v>
      </c>
      <c r="I221" s="32">
        <f>'MEMD 300'!D224</f>
        <v>283.01717061555371</v>
      </c>
      <c r="J221" s="32">
        <f>'MEMD 500'!D224</f>
        <v>336.51232028450704</v>
      </c>
      <c r="K221" s="50">
        <f>'MEMD 1000'!D224</f>
        <v>422.64774317877607</v>
      </c>
    </row>
    <row r="222" spans="2:11" x14ac:dyDescent="0.25">
      <c r="B222" s="9" t="str">
        <f>'MEMD 50'!C225</f>
        <v>Upper combustion chamber width</v>
      </c>
      <c r="C222" s="85">
        <f>'MEMD 50'!I225</f>
        <v>0</v>
      </c>
      <c r="D222" s="32">
        <f>'MEMD 50'!D225</f>
        <v>151.64001440432619</v>
      </c>
      <c r="E222" s="32">
        <f>'MEMD 100'!D225</f>
        <v>193.36604054762694</v>
      </c>
      <c r="F222" s="32">
        <f>'MEMD 150'!D225</f>
        <v>223.85207738160048</v>
      </c>
      <c r="G222" s="32">
        <f>'MEMD 200'!D225</f>
        <v>245.49492977688882</v>
      </c>
      <c r="H222" s="32">
        <f>'MEMD 250'!D225</f>
        <v>265.64656281468308</v>
      </c>
      <c r="I222" s="32">
        <f>'MEMD 300'!D225</f>
        <v>283.01717061555371</v>
      </c>
      <c r="J222" s="32">
        <f>'MEMD 500'!D225</f>
        <v>336.51232028450698</v>
      </c>
      <c r="K222" s="50">
        <f>'MEMD 1000'!D225</f>
        <v>422.64774317877607</v>
      </c>
    </row>
    <row r="223" spans="2:11" x14ac:dyDescent="0.25">
      <c r="B223" s="9"/>
      <c r="C223" s="85"/>
      <c r="D223" s="32"/>
      <c r="E223" s="32"/>
      <c r="F223" s="32"/>
      <c r="G223" s="32"/>
      <c r="H223" s="32"/>
      <c r="I223" s="32"/>
      <c r="J223" s="32"/>
      <c r="K223" s="50"/>
    </row>
    <row r="224" spans="2:11" x14ac:dyDescent="0.25">
      <c r="B224" s="62" t="str">
        <f>'MEMD 50'!B227</f>
        <v>Construction Drawings - Layer 6</v>
      </c>
      <c r="C224" s="85"/>
      <c r="D224" s="32"/>
      <c r="E224" s="32"/>
      <c r="F224" s="32"/>
      <c r="G224" s="32"/>
      <c r="H224" s="32"/>
      <c r="I224" s="32"/>
      <c r="J224" s="32"/>
      <c r="K224" s="50"/>
    </row>
    <row r="225" spans="2:11" x14ac:dyDescent="0.25">
      <c r="B225" s="9" t="str">
        <f>'MEMD 50'!C228</f>
        <v>Height of Layer 6 surface</v>
      </c>
      <c r="C225" s="85">
        <f>'MEMD 50'!I228</f>
        <v>0</v>
      </c>
      <c r="D225" s="32">
        <f>'MEMD 50'!D228</f>
        <v>538</v>
      </c>
      <c r="E225" s="32">
        <f>'MEMD 100'!D228</f>
        <v>551</v>
      </c>
      <c r="F225" s="32">
        <f>'MEMD 150'!D228</f>
        <v>551</v>
      </c>
      <c r="G225" s="32">
        <f>'MEMD 200'!D228</f>
        <v>539</v>
      </c>
      <c r="H225" s="32">
        <f>'MEMD 250'!D228</f>
        <v>546</v>
      </c>
      <c r="I225" s="32">
        <f>'MEMD 300'!D228</f>
        <v>574.26378964529556</v>
      </c>
      <c r="J225" s="32">
        <f>'MEMD 500'!D228</f>
        <v>662.13907747020573</v>
      </c>
      <c r="K225" s="50">
        <f>'MEMD 1000'!D228</f>
        <v>827.7841214976462</v>
      </c>
    </row>
    <row r="226" spans="2:11" x14ac:dyDescent="0.25">
      <c r="B226" s="9" t="str">
        <f>'MEMD 50'!C229</f>
        <v>Height to the base of the Heat Exchanger</v>
      </c>
      <c r="C226" s="85">
        <f>'MEMD 50'!I229</f>
        <v>0</v>
      </c>
      <c r="D226" s="32">
        <f>'MEMD 50'!D229</f>
        <v>569.75</v>
      </c>
      <c r="E226" s="32">
        <f>'MEMD 100'!D229</f>
        <v>551</v>
      </c>
      <c r="F226" s="32">
        <f>'MEMD 150'!D229</f>
        <v>551</v>
      </c>
      <c r="G226" s="32">
        <f>'MEMD 200'!D229</f>
        <v>539</v>
      </c>
      <c r="H226" s="32">
        <f>'MEMD 250'!D229</f>
        <v>577.75</v>
      </c>
      <c r="I226" s="32">
        <f>'MEMD 300'!D229</f>
        <v>606.01378964529556</v>
      </c>
      <c r="J226" s="32">
        <f>'MEMD 500'!D229</f>
        <v>693.88907747020585</v>
      </c>
      <c r="K226" s="50">
        <f>'MEMD 1000'!D229</f>
        <v>859.53412149764631</v>
      </c>
    </row>
    <row r="227" spans="2:11" x14ac:dyDescent="0.25">
      <c r="B227" s="9" t="str">
        <f>'MEMD 50'!C230</f>
        <v>Arch entrance is closed over the top</v>
      </c>
      <c r="C227" s="85"/>
      <c r="D227" s="32"/>
      <c r="E227" s="32"/>
      <c r="F227" s="32"/>
      <c r="G227" s="32"/>
      <c r="H227" s="32"/>
      <c r="I227" s="32"/>
      <c r="J227" s="32"/>
      <c r="K227" s="50"/>
    </row>
    <row r="228" spans="2:11" x14ac:dyDescent="0.25">
      <c r="B228" s="9" t="str">
        <f>'MEMD 50'!C231</f>
        <v>Full width of the opening at the top</v>
      </c>
      <c r="C228" s="85">
        <f>'MEMD 50'!I231</f>
        <v>0</v>
      </c>
      <c r="D228" s="32">
        <f>'MEMD 50'!D231</f>
        <v>397.54001440432614</v>
      </c>
      <c r="E228" s="32">
        <f>'MEMD 100'!D231</f>
        <v>439.26604054762691</v>
      </c>
      <c r="F228" s="32">
        <f>'MEMD 150'!D231</f>
        <v>469.75207738160043</v>
      </c>
      <c r="G228" s="32">
        <f>'MEMD 200'!D231</f>
        <v>491.39492977688883</v>
      </c>
      <c r="H228" s="32">
        <f>'MEMD 250'!D231</f>
        <v>511.54656281468306</v>
      </c>
      <c r="I228" s="32">
        <f>'MEMD 300'!D231</f>
        <v>528.91717061555369</v>
      </c>
      <c r="J228" s="32">
        <f>'MEMD 500'!D231</f>
        <v>582.41232028450702</v>
      </c>
      <c r="K228" s="50">
        <f>'MEMD 1000'!D231</f>
        <v>668.54774317877605</v>
      </c>
    </row>
    <row r="229" spans="2:11" x14ac:dyDescent="0.25">
      <c r="B229" s="9" t="str">
        <f>'MEMD 50'!C232</f>
        <v>Upper combustion chamber length</v>
      </c>
      <c r="C229" s="85">
        <f>'MEMD 50'!I232</f>
        <v>0</v>
      </c>
      <c r="D229" s="32">
        <f>'MEMD 50'!D232</f>
        <v>151.64001440432617</v>
      </c>
      <c r="E229" s="32">
        <f>'MEMD 100'!D232</f>
        <v>193.36604054762694</v>
      </c>
      <c r="F229" s="32">
        <f>'MEMD 150'!D232</f>
        <v>223.85207738160045</v>
      </c>
      <c r="G229" s="32">
        <f>'MEMD 200'!D232</f>
        <v>245.49492977688885</v>
      </c>
      <c r="H229" s="32">
        <f>'MEMD 250'!D232</f>
        <v>265.64656281468308</v>
      </c>
      <c r="I229" s="32">
        <f>'MEMD 300'!D232</f>
        <v>283.01717061555371</v>
      </c>
      <c r="J229" s="32">
        <f>'MEMD 500'!D232</f>
        <v>336.51232028450704</v>
      </c>
      <c r="K229" s="50">
        <f>'MEMD 1000'!D232</f>
        <v>422.64774317877607</v>
      </c>
    </row>
    <row r="230" spans="2:11" x14ac:dyDescent="0.25">
      <c r="B230" s="9" t="str">
        <f>'MEMD 50'!C233</f>
        <v>Upper combustion zone height</v>
      </c>
      <c r="C230" s="85">
        <f>'MEMD 50'!I233</f>
        <v>0</v>
      </c>
      <c r="D230" s="32">
        <f>'MEMD 50'!D233</f>
        <v>360.8</v>
      </c>
      <c r="E230" s="32">
        <f>'MEMD 100'!D233</f>
        <v>364.8</v>
      </c>
      <c r="F230" s="32">
        <f>'MEMD 150'!D233</f>
        <v>364.8</v>
      </c>
      <c r="G230" s="32">
        <f>'MEMD 200'!D233</f>
        <v>359.8</v>
      </c>
      <c r="H230" s="32">
        <f>'MEMD 250'!D233</f>
        <v>359.8</v>
      </c>
      <c r="I230" s="32">
        <f>'MEMD 300'!D233</f>
        <v>380.41103171623644</v>
      </c>
      <c r="J230" s="32">
        <f>'MEMD 500'!D233</f>
        <v>452.71126197616456</v>
      </c>
      <c r="K230" s="50">
        <f>'MEMD 1000'!D233</f>
        <v>585.22729719811696</v>
      </c>
    </row>
    <row r="231" spans="2:11" x14ac:dyDescent="0.25">
      <c r="B231" s="9" t="str">
        <f>'MEMD 50'!C234</f>
        <v>Tunnel top to expansion chamber bottom</v>
      </c>
      <c r="C231" s="85">
        <f>'MEMD 50'!I234</f>
        <v>0</v>
      </c>
      <c r="D231" s="32">
        <f>'MEMD 50'!D234</f>
        <v>211.15000000000003</v>
      </c>
      <c r="E231" s="32">
        <f>'MEMD 100'!D234</f>
        <v>211.15000000000003</v>
      </c>
      <c r="F231" s="32">
        <f>'MEMD 150'!D234</f>
        <v>211.15000000000003</v>
      </c>
      <c r="G231" s="32">
        <f>'MEMD 200'!D234</f>
        <v>206.15000000000003</v>
      </c>
      <c r="H231" s="32">
        <f>'MEMD 250'!D234</f>
        <v>206.15000000000003</v>
      </c>
      <c r="I231" s="32">
        <f>'MEMD 300'!D234</f>
        <v>222.53952740381544</v>
      </c>
      <c r="J231" s="32">
        <f>'MEMD 500'!D234</f>
        <v>252.60563098808228</v>
      </c>
      <c r="K231" s="50">
        <f>'MEMD 1000'!D234</f>
        <v>318.86364859905848</v>
      </c>
    </row>
    <row r="232" spans="2:11" x14ac:dyDescent="0.25">
      <c r="B232" s="9"/>
      <c r="C232" s="85"/>
      <c r="D232" s="32"/>
      <c r="E232" s="32"/>
      <c r="F232" s="32"/>
      <c r="G232" s="32"/>
      <c r="H232" s="32"/>
      <c r="I232" s="32"/>
      <c r="J232" s="32"/>
      <c r="K232" s="50"/>
    </row>
    <row r="233" spans="2:11" x14ac:dyDescent="0.25">
      <c r="B233" s="62" t="str">
        <f>'MEMD 50'!B236</f>
        <v>Construction Drawings - Layer 7</v>
      </c>
      <c r="C233" s="85"/>
      <c r="D233" s="32"/>
      <c r="E233" s="32"/>
      <c r="F233" s="32"/>
      <c r="G233" s="32"/>
      <c r="H233" s="32"/>
      <c r="I233" s="32"/>
      <c r="J233" s="32"/>
      <c r="K233" s="50"/>
    </row>
    <row r="234" spans="2:11" x14ac:dyDescent="0.25">
      <c r="B234" s="9" t="str">
        <f>'MEMD 50'!C237</f>
        <v>Height of Layer 7 surface</v>
      </c>
      <c r="C234" s="85">
        <f>'MEMD 50'!I237</f>
        <v>0</v>
      </c>
      <c r="D234" s="32">
        <f>'MEMD 50'!D237</f>
        <v>629.20000000000005</v>
      </c>
      <c r="E234" s="32">
        <f>'MEMD 100'!D237</f>
        <v>642.20000000000005</v>
      </c>
      <c r="F234" s="32">
        <f>'MEMD 150'!D237</f>
        <v>642.20000000000005</v>
      </c>
      <c r="G234" s="32">
        <f>'MEMD 200'!D237</f>
        <v>630.20000000000005</v>
      </c>
      <c r="H234" s="32">
        <f>'MEMD 250'!D237</f>
        <v>637.20000000000005</v>
      </c>
      <c r="I234" s="32">
        <f>'MEMD 300'!D237</f>
        <v>668.11654757435463</v>
      </c>
      <c r="J234" s="32">
        <f>'MEMD 500'!D237</f>
        <v>776.5668929642469</v>
      </c>
      <c r="K234" s="50">
        <f>'MEMD 1000'!D237</f>
        <v>975.34094579717544</v>
      </c>
    </row>
    <row r="235" spans="2:11" x14ac:dyDescent="0.25">
      <c r="B235" s="9" t="str">
        <f>'MEMD 50'!C238</f>
        <v>Height to the surface of the curved bricks</v>
      </c>
      <c r="C235" s="85">
        <f>'MEMD 50'!I238</f>
        <v>0</v>
      </c>
      <c r="D235" s="32">
        <f>'MEMD 50'!D238</f>
        <v>629.20000000000005</v>
      </c>
      <c r="E235" s="32">
        <f>'MEMD 100'!D238</f>
        <v>642.20000000000005</v>
      </c>
      <c r="F235" s="32">
        <f>'MEMD 150'!D238</f>
        <v>642.20000000000005</v>
      </c>
      <c r="G235" s="32">
        <f>'MEMD 200'!D238</f>
        <v>630.20000000000005</v>
      </c>
      <c r="H235" s="32">
        <f>'MEMD 250'!D238</f>
        <v>668.95</v>
      </c>
      <c r="I235" s="32">
        <f>'MEMD 300'!D238</f>
        <v>699.86654757435463</v>
      </c>
      <c r="J235" s="32">
        <f>'MEMD 500'!D238</f>
        <v>808.31689296424702</v>
      </c>
      <c r="K235" s="50">
        <f>'MEMD 1000'!D238</f>
        <v>1007.0909457971756</v>
      </c>
    </row>
    <row r="236" spans="2:11" x14ac:dyDescent="0.25">
      <c r="B236" s="9" t="str">
        <f>'MEMD 50'!C239</f>
        <v>Inside diameter of the curved bricks</v>
      </c>
      <c r="C236" s="85">
        <f>'MEMD 50'!I239</f>
        <v>0</v>
      </c>
      <c r="D236" s="32">
        <f>'MEMD 50'!D239</f>
        <v>544</v>
      </c>
      <c r="E236" s="32">
        <f>'MEMD 100'!D239</f>
        <v>664</v>
      </c>
      <c r="F236" s="32">
        <f>'MEMD 150'!D239</f>
        <v>749</v>
      </c>
      <c r="G236" s="32">
        <f>'MEMD 200'!D239</f>
        <v>814</v>
      </c>
      <c r="H236" s="32">
        <f>'MEMD 250'!D239</f>
        <v>872</v>
      </c>
      <c r="I236" s="32">
        <f>'MEMD 300'!D239</f>
        <v>922</v>
      </c>
      <c r="J236" s="32">
        <f>'MEMD 500'!D239</f>
        <v>1076</v>
      </c>
      <c r="K236" s="50">
        <f>'MEMD 1000'!D239</f>
        <v>1324</v>
      </c>
    </row>
    <row r="237" spans="2:11" x14ac:dyDescent="0.25">
      <c r="B237" s="9" t="str">
        <f>'MEMD 50'!C240</f>
        <v>Outside diameter of the curved bricks</v>
      </c>
      <c r="C237" s="85">
        <f>'MEMD 50'!I240</f>
        <v>0</v>
      </c>
      <c r="D237" s="32">
        <f>'MEMD 50'!D240</f>
        <v>741.20799999999997</v>
      </c>
      <c r="E237" s="32">
        <f>'MEMD 100'!D240</f>
        <v>861.20799999999997</v>
      </c>
      <c r="F237" s="32">
        <f>'MEMD 150'!D240</f>
        <v>946.20799999999997</v>
      </c>
      <c r="G237" s="32">
        <f>'MEMD 200'!D240</f>
        <v>1011.208</v>
      </c>
      <c r="H237" s="32">
        <f>'MEMD 250'!D240</f>
        <v>1069.2080000000001</v>
      </c>
      <c r="I237" s="32">
        <f>'MEMD 300'!D240</f>
        <v>1119.2080000000001</v>
      </c>
      <c r="J237" s="32">
        <f>'MEMD 500'!D240</f>
        <v>1273.2080000000001</v>
      </c>
      <c r="K237" s="50">
        <f>'MEMD 1000'!D240</f>
        <v>1521.2080000000001</v>
      </c>
    </row>
    <row r="238" spans="2:11" x14ac:dyDescent="0.25">
      <c r="B238" s="9" t="str">
        <f>'MEMD 50'!C241</f>
        <v>Width inside the outer wall</v>
      </c>
      <c r="C238" s="85">
        <f>'MEMD 50'!I241</f>
        <v>0</v>
      </c>
      <c r="D238" s="32">
        <f>'MEMD 50'!D241</f>
        <v>756.6</v>
      </c>
      <c r="E238" s="32">
        <f>'MEMD 100'!D241</f>
        <v>876.6</v>
      </c>
      <c r="F238" s="32">
        <f>'MEMD 150'!D241</f>
        <v>961.6</v>
      </c>
      <c r="G238" s="32">
        <f>'MEMD 200'!D241</f>
        <v>1026.5999999999999</v>
      </c>
      <c r="H238" s="32">
        <f>'MEMD 250'!D241</f>
        <v>1084.5999999999999</v>
      </c>
      <c r="I238" s="32">
        <f>'MEMD 300'!D241</f>
        <v>1144.5999999999999</v>
      </c>
      <c r="J238" s="32">
        <f>'MEMD 500'!D241</f>
        <v>1288.5999999999999</v>
      </c>
      <c r="K238" s="50">
        <f>'MEMD 1000'!D241</f>
        <v>1536.6</v>
      </c>
    </row>
    <row r="239" spans="2:11" x14ac:dyDescent="0.25">
      <c r="B239" s="9"/>
      <c r="C239" s="85"/>
      <c r="D239" s="32"/>
      <c r="E239" s="32"/>
      <c r="F239" s="32"/>
      <c r="G239" s="32"/>
      <c r="H239" s="32"/>
      <c r="I239" s="32"/>
      <c r="J239" s="32"/>
      <c r="K239" s="50"/>
    </row>
    <row r="240" spans="2:11" x14ac:dyDescent="0.25">
      <c r="B240" s="62" t="str">
        <f>'MEMD 50'!B243</f>
        <v>Construction Drawings - Layers 8-10</v>
      </c>
      <c r="C240" s="85"/>
      <c r="D240" s="32"/>
      <c r="E240" s="32"/>
      <c r="F240" s="32"/>
      <c r="G240" s="32"/>
      <c r="H240" s="32"/>
      <c r="I240" s="32"/>
      <c r="J240" s="32"/>
      <c r="K240" s="50"/>
    </row>
    <row r="241" spans="2:11" x14ac:dyDescent="0.25">
      <c r="B241" s="9" t="str">
        <f>'MEMD 50'!C244</f>
        <v>Height of Layer 12 surface</v>
      </c>
      <c r="C241" s="85">
        <f>'MEMD 50'!I244</f>
        <v>0</v>
      </c>
      <c r="D241" s="32">
        <f>'MEMD 50'!D244</f>
        <v>902.8</v>
      </c>
      <c r="E241" s="32">
        <f>'MEMD 100'!D244</f>
        <v>915.8</v>
      </c>
      <c r="F241" s="32">
        <f>'MEMD 150'!D244</f>
        <v>915.8</v>
      </c>
      <c r="G241" s="32">
        <f>'MEMD 200'!D244</f>
        <v>995</v>
      </c>
      <c r="H241" s="32">
        <f>'MEMD 250'!D244</f>
        <v>1053.2</v>
      </c>
      <c r="I241" s="32">
        <f>'MEMD 300'!D244</f>
        <v>1137.3803372196503</v>
      </c>
      <c r="J241" s="32">
        <f>'MEMD 500'!D244</f>
        <v>1308.7059704344526</v>
      </c>
      <c r="K241" s="50">
        <f>'MEMD 1000'!D244</f>
        <v>1673.1250672948217</v>
      </c>
    </row>
    <row r="242" spans="2:11" x14ac:dyDescent="0.25">
      <c r="B242" s="9" t="str">
        <f>'MEMD 50'!C245</f>
        <v>Height of the steel frame around the top</v>
      </c>
      <c r="C242" s="85">
        <f>'MEMD 50'!I245</f>
        <v>0</v>
      </c>
      <c r="D242" s="32">
        <f>'MEMD 50'!D245</f>
        <v>905.8</v>
      </c>
      <c r="E242" s="32">
        <f>'MEMD 100'!D245</f>
        <v>918.8</v>
      </c>
      <c r="F242" s="32">
        <f>'MEMD 150'!D245</f>
        <v>918.8</v>
      </c>
      <c r="G242" s="32">
        <f>'MEMD 200'!D245</f>
        <v>1061.2</v>
      </c>
      <c r="H242" s="32">
        <f>'MEMD 250'!D245</f>
        <v>1068.2</v>
      </c>
      <c r="I242" s="32">
        <f>'MEMD 300'!D245</f>
        <v>1112.3803372196503</v>
      </c>
      <c r="J242" s="32">
        <f>'MEMD 500'!D245</f>
        <v>1323.7059704344526</v>
      </c>
      <c r="K242" s="50">
        <f>'MEMD 1000'!D245</f>
        <v>1688.1250672948217</v>
      </c>
    </row>
    <row r="243" spans="2:11" x14ac:dyDescent="0.25">
      <c r="B243" s="9" t="str">
        <f>'MEMD 50'!C246</f>
        <v>Height of the top of the steel ring</v>
      </c>
      <c r="C243" s="85">
        <f>'MEMD 50'!I246</f>
        <v>0</v>
      </c>
      <c r="D243" s="32">
        <f>'MEMD 50'!D246</f>
        <v>939.8</v>
      </c>
      <c r="E243" s="32">
        <f>'MEMD 100'!D246</f>
        <v>952.8</v>
      </c>
      <c r="F243" s="32">
        <f>'MEMD 150'!D246</f>
        <v>952.8</v>
      </c>
      <c r="G243" s="32">
        <f>'MEMD 200'!D246</f>
        <v>1076.478728439188</v>
      </c>
      <c r="H243" s="32">
        <f>'MEMD 250'!D246</f>
        <v>1083.4458641889603</v>
      </c>
      <c r="I243" s="32">
        <f>'MEMD 300'!D246</f>
        <v>1127.9126618272619</v>
      </c>
      <c r="J243" s="32">
        <f>'MEMD 500'!D246</f>
        <v>1338.8362431226119</v>
      </c>
      <c r="K243" s="50">
        <f>'MEMD 1000'!D246</f>
        <v>1703.1148169820076</v>
      </c>
    </row>
    <row r="244" spans="2:11" x14ac:dyDescent="0.25">
      <c r="B244" s="13" t="str">
        <f>'MEMD 50'!C247</f>
        <v>Height of the surface of the curved bricks</v>
      </c>
      <c r="C244" s="86">
        <f>'MEMD 50'!I247</f>
        <v>0</v>
      </c>
      <c r="D244" s="34">
        <f>'MEMD 50'!D247</f>
        <v>893.8</v>
      </c>
      <c r="E244" s="34">
        <f>'MEMD 100'!D247</f>
        <v>906.8</v>
      </c>
      <c r="F244" s="34">
        <f>'MEMD 150'!D247</f>
        <v>906.8</v>
      </c>
      <c r="G244" s="34">
        <f>'MEMD 200'!D247</f>
        <v>999</v>
      </c>
      <c r="H244" s="34">
        <f>'MEMD 250'!D247</f>
        <v>1037.75</v>
      </c>
      <c r="I244" s="34">
        <f>'MEMD 300'!D247</f>
        <v>1068.6665475743546</v>
      </c>
      <c r="J244" s="34">
        <f>'MEMD 500'!D247</f>
        <v>1177.116892964247</v>
      </c>
      <c r="K244" s="54">
        <f>'MEMD 1000'!D247</f>
        <v>1375.8909457971756</v>
      </c>
    </row>
  </sheetData>
  <pageMargins left="0.70866141732283461" right="0.70866141732283461" top="0.74803149606299213" bottom="0.74803149606299213" header="0.31496062992125984" footer="0.31496062992125984"/>
  <pageSetup scale="4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6188F-476F-4FAC-A30B-1A3D8EF5F4D1}">
  <dimension ref="B2:O247"/>
  <sheetViews>
    <sheetView topLeftCell="A211" zoomScale="130" zoomScaleNormal="130" workbookViewId="0">
      <selection activeCell="D228" sqref="D228"/>
    </sheetView>
  </sheetViews>
  <sheetFormatPr defaultRowHeight="15" x14ac:dyDescent="0.25"/>
  <cols>
    <col min="1" max="1" width="6" customWidth="1"/>
    <col min="2" max="2" width="30" customWidth="1"/>
    <col min="3" max="3" width="35.42578125" customWidth="1"/>
    <col min="4" max="4" width="19.42578125" style="4" bestFit="1" customWidth="1"/>
    <col min="5" max="5" width="17" customWidth="1"/>
    <col min="6" max="6" width="11" hidden="1" customWidth="1"/>
    <col min="7" max="7" width="9.140625" hidden="1" customWidth="1"/>
    <col min="8" max="8" width="56.28515625" hidden="1" customWidth="1"/>
    <col min="9" max="9" width="8" style="35" customWidth="1"/>
    <col min="10" max="10" width="11.5703125" customWidth="1"/>
    <col min="11" max="12" width="7.5703125" customWidth="1"/>
    <col min="13" max="13" width="29.28515625" style="4" customWidth="1"/>
  </cols>
  <sheetData>
    <row r="2" spans="2:11" ht="18.75" x14ac:dyDescent="0.3">
      <c r="B2" s="1" t="str">
        <f>ROUNDDOWN(D10/50,0)*50&amp;" Litre MEMD Stove"</f>
        <v>50 Litre MEMD Stove</v>
      </c>
      <c r="C2" s="64" t="s">
        <v>217</v>
      </c>
      <c r="D2" s="35"/>
    </row>
    <row r="3" spans="2:11" ht="18.75" x14ac:dyDescent="0.3">
      <c r="B3" s="1"/>
      <c r="D3" s="35"/>
    </row>
    <row r="4" spans="2:11" x14ac:dyDescent="0.25">
      <c r="C4" t="s">
        <v>0</v>
      </c>
      <c r="D4" s="36">
        <v>45647</v>
      </c>
      <c r="E4" t="str">
        <f>Dimensions!F2</f>
        <v>Version 1.4</v>
      </c>
    </row>
    <row r="5" spans="2:11" x14ac:dyDescent="0.25">
      <c r="B5" s="69" t="s">
        <v>219</v>
      </c>
    </row>
    <row r="7" spans="2:11" x14ac:dyDescent="0.25">
      <c r="B7" s="29" t="s">
        <v>212</v>
      </c>
      <c r="D7"/>
      <c r="I7" s="35" t="s">
        <v>218</v>
      </c>
    </row>
    <row r="8" spans="2:11" x14ac:dyDescent="0.25">
      <c r="C8" s="6" t="s">
        <v>108</v>
      </c>
      <c r="D8" s="7">
        <v>460</v>
      </c>
      <c r="E8" s="8" t="s">
        <v>1</v>
      </c>
      <c r="I8" s="35" t="s">
        <v>131</v>
      </c>
      <c r="J8" s="71" t="s">
        <v>223</v>
      </c>
    </row>
    <row r="9" spans="2:11" x14ac:dyDescent="0.25">
      <c r="C9" s="9" t="s">
        <v>348</v>
      </c>
      <c r="D9" s="57">
        <f>D8*0.7</f>
        <v>322</v>
      </c>
      <c r="E9" s="11" t="s">
        <v>1</v>
      </c>
      <c r="I9" s="35" t="s">
        <v>132</v>
      </c>
      <c r="J9" s="71" t="s">
        <v>223</v>
      </c>
      <c r="K9" t="s">
        <v>359</v>
      </c>
    </row>
    <row r="10" spans="2:11" x14ac:dyDescent="0.25">
      <c r="C10" s="9" t="s">
        <v>89</v>
      </c>
      <c r="D10" s="10">
        <f>(D8/200)^2*PI()*D9/100</f>
        <v>53.513260942717807</v>
      </c>
      <c r="E10" s="11" t="s">
        <v>3</v>
      </c>
      <c r="I10" s="35" t="s">
        <v>170</v>
      </c>
      <c r="J10" s="71" t="s">
        <v>223</v>
      </c>
      <c r="K10" s="81">
        <f>D10/50-1</f>
        <v>7.0265218854356215E-2</v>
      </c>
    </row>
    <row r="11" spans="2:11" x14ac:dyDescent="0.25">
      <c r="C11" s="9" t="s">
        <v>105</v>
      </c>
      <c r="D11" s="18">
        <v>2</v>
      </c>
      <c r="E11" s="11" t="s">
        <v>1</v>
      </c>
      <c r="I11" s="35" t="s">
        <v>134</v>
      </c>
      <c r="J11" s="71" t="s">
        <v>223</v>
      </c>
    </row>
    <row r="12" spans="2:11" x14ac:dyDescent="0.25">
      <c r="C12" s="9" t="s">
        <v>106</v>
      </c>
      <c r="D12" s="18">
        <v>3</v>
      </c>
      <c r="E12" s="11" t="s">
        <v>1</v>
      </c>
      <c r="I12" s="35" t="s">
        <v>135</v>
      </c>
      <c r="J12" s="71" t="s">
        <v>223</v>
      </c>
    </row>
    <row r="13" spans="2:11" x14ac:dyDescent="0.25">
      <c r="C13" s="9" t="s">
        <v>224</v>
      </c>
      <c r="D13" s="18">
        <v>40</v>
      </c>
      <c r="E13" s="11" t="s">
        <v>1</v>
      </c>
      <c r="I13" s="35" t="s">
        <v>136</v>
      </c>
      <c r="J13" s="71" t="s">
        <v>223</v>
      </c>
    </row>
    <row r="14" spans="2:11" x14ac:dyDescent="0.25">
      <c r="C14" s="9" t="s">
        <v>107</v>
      </c>
      <c r="D14" s="10">
        <f>D8+2*D11</f>
        <v>464</v>
      </c>
      <c r="E14" s="11" t="s">
        <v>1</v>
      </c>
      <c r="J14" s="71"/>
    </row>
    <row r="15" spans="2:11" x14ac:dyDescent="0.25">
      <c r="C15" s="9" t="s">
        <v>229</v>
      </c>
      <c r="D15" s="10">
        <f>(D9+D12)*0.25</f>
        <v>81.25</v>
      </c>
      <c r="E15" s="11" t="s">
        <v>1</v>
      </c>
      <c r="I15" s="35" t="s">
        <v>151</v>
      </c>
      <c r="J15" s="71" t="s">
        <v>223</v>
      </c>
      <c r="K15" t="s">
        <v>236</v>
      </c>
    </row>
    <row r="16" spans="2:11" x14ac:dyDescent="0.25">
      <c r="C16" s="9" t="s">
        <v>234</v>
      </c>
      <c r="D16" s="10">
        <f>D8+2*D11</f>
        <v>464</v>
      </c>
      <c r="E16" s="11" t="s">
        <v>1</v>
      </c>
      <c r="I16" s="35" t="s">
        <v>133</v>
      </c>
      <c r="J16" s="71" t="s">
        <v>223</v>
      </c>
    </row>
    <row r="17" spans="2:13" x14ac:dyDescent="0.25">
      <c r="C17" s="9" t="s">
        <v>222</v>
      </c>
      <c r="D17" s="10">
        <f>D13*2+D16</f>
        <v>544</v>
      </c>
      <c r="E17" s="11" t="s">
        <v>1</v>
      </c>
      <c r="I17" s="35" t="s">
        <v>148</v>
      </c>
      <c r="J17" s="71" t="s">
        <v>223</v>
      </c>
    </row>
    <row r="18" spans="2:13" x14ac:dyDescent="0.25">
      <c r="C18" s="9" t="s">
        <v>183</v>
      </c>
      <c r="D18" s="10">
        <f>D9+D12</f>
        <v>325</v>
      </c>
      <c r="E18" s="11" t="s">
        <v>1</v>
      </c>
      <c r="I18" s="35" t="s">
        <v>184</v>
      </c>
      <c r="J18" s="71" t="s">
        <v>223</v>
      </c>
    </row>
    <row r="19" spans="2:13" x14ac:dyDescent="0.25">
      <c r="C19" s="60"/>
      <c r="D19" s="16"/>
      <c r="E19" s="60"/>
      <c r="M19" s="4">
        <f>76+30</f>
        <v>106</v>
      </c>
    </row>
    <row r="20" spans="2:13" x14ac:dyDescent="0.25">
      <c r="B20" s="29" t="s">
        <v>231</v>
      </c>
      <c r="D20" s="10"/>
    </row>
    <row r="21" spans="2:13" x14ac:dyDescent="0.25">
      <c r="C21" s="6" t="s">
        <v>230</v>
      </c>
      <c r="D21" s="40">
        <f>D16+2*D25</f>
        <v>472.28</v>
      </c>
      <c r="E21" s="8" t="s">
        <v>1</v>
      </c>
      <c r="I21" s="35" t="s">
        <v>147</v>
      </c>
      <c r="J21" s="71" t="s">
        <v>223</v>
      </c>
    </row>
    <row r="22" spans="2:13" x14ac:dyDescent="0.25">
      <c r="C22" s="9" t="s">
        <v>225</v>
      </c>
      <c r="D22" s="12">
        <v>5</v>
      </c>
      <c r="E22" s="11" t="s">
        <v>1</v>
      </c>
      <c r="I22" s="35" t="s">
        <v>139</v>
      </c>
      <c r="J22" s="71" t="s">
        <v>223</v>
      </c>
    </row>
    <row r="23" spans="2:13" x14ac:dyDescent="0.25">
      <c r="C23" s="9" t="s">
        <v>226</v>
      </c>
      <c r="D23" s="63">
        <f>D21+2*D22</f>
        <v>482.28</v>
      </c>
      <c r="E23" s="11" t="s">
        <v>1</v>
      </c>
      <c r="I23" s="35" t="s">
        <v>211</v>
      </c>
      <c r="J23" s="71" t="s">
        <v>223</v>
      </c>
    </row>
    <row r="24" spans="2:13" x14ac:dyDescent="0.25">
      <c r="C24" s="9" t="s">
        <v>227</v>
      </c>
      <c r="D24" s="12">
        <v>50</v>
      </c>
      <c r="E24" s="11" t="s">
        <v>1</v>
      </c>
      <c r="I24" s="35" t="s">
        <v>152</v>
      </c>
      <c r="J24" s="71" t="s">
        <v>223</v>
      </c>
    </row>
    <row r="25" spans="2:13" x14ac:dyDescent="0.25">
      <c r="C25" s="9" t="s">
        <v>228</v>
      </c>
      <c r="D25" s="74">
        <f>D8*0.009</f>
        <v>4.1399999999999997</v>
      </c>
      <c r="E25" s="11" t="s">
        <v>1</v>
      </c>
      <c r="I25" s="35" t="s">
        <v>137</v>
      </c>
      <c r="J25" s="71" t="s">
        <v>223</v>
      </c>
    </row>
    <row r="26" spans="2:13" x14ac:dyDescent="0.25">
      <c r="C26" s="9" t="s">
        <v>232</v>
      </c>
      <c r="D26" s="74">
        <f>(D21+2*D22/3)*PI()</f>
        <v>1494.1833539493534</v>
      </c>
      <c r="E26" s="11" t="s">
        <v>1</v>
      </c>
      <c r="J26" s="71" t="s">
        <v>223</v>
      </c>
    </row>
    <row r="27" spans="2:13" x14ac:dyDescent="0.25">
      <c r="C27" s="9" t="s">
        <v>350</v>
      </c>
      <c r="D27" s="74">
        <f>D23*0.3</f>
        <v>144.684</v>
      </c>
      <c r="E27" s="11" t="s">
        <v>1</v>
      </c>
      <c r="J27" s="71"/>
    </row>
    <row r="28" spans="2:13" x14ac:dyDescent="0.25">
      <c r="C28" s="13" t="s">
        <v>335</v>
      </c>
      <c r="D28" s="77">
        <v>6</v>
      </c>
      <c r="E28" s="15" t="s">
        <v>1</v>
      </c>
      <c r="J28" s="71"/>
    </row>
    <row r="29" spans="2:13" x14ac:dyDescent="0.25">
      <c r="D29" s="21"/>
    </row>
    <row r="30" spans="2:13" x14ac:dyDescent="0.25">
      <c r="B30" s="29" t="s">
        <v>258</v>
      </c>
      <c r="D30"/>
    </row>
    <row r="31" spans="2:13" x14ac:dyDescent="0.25">
      <c r="B31" s="29"/>
      <c r="C31" s="6" t="s">
        <v>257</v>
      </c>
      <c r="D31" s="7">
        <f>25.4*4.25</f>
        <v>107.94999999999999</v>
      </c>
      <c r="E31" s="8" t="s">
        <v>1</v>
      </c>
      <c r="I31" s="35" t="s">
        <v>214</v>
      </c>
      <c r="J31" s="71" t="s">
        <v>223</v>
      </c>
    </row>
    <row r="32" spans="2:13" x14ac:dyDescent="0.25">
      <c r="B32" s="29"/>
      <c r="C32" s="9" t="s">
        <v>329</v>
      </c>
      <c r="D32" s="12">
        <f>25.4*3</f>
        <v>76.199999999999989</v>
      </c>
      <c r="E32" s="11" t="s">
        <v>1</v>
      </c>
      <c r="I32" s="35" t="s">
        <v>215</v>
      </c>
      <c r="J32" s="71" t="s">
        <v>223</v>
      </c>
    </row>
    <row r="33" spans="2:10" x14ac:dyDescent="0.25">
      <c r="B33" s="29"/>
      <c r="C33" s="9" t="s">
        <v>330</v>
      </c>
      <c r="D33" s="12">
        <f>25.4*9</f>
        <v>228.6</v>
      </c>
      <c r="E33" s="11" t="s">
        <v>1</v>
      </c>
      <c r="J33" s="71" t="s">
        <v>223</v>
      </c>
    </row>
    <row r="34" spans="2:10" x14ac:dyDescent="0.25">
      <c r="B34" s="29"/>
      <c r="C34" s="9" t="s">
        <v>259</v>
      </c>
      <c r="D34" s="12">
        <v>91.3</v>
      </c>
      <c r="E34" s="11" t="s">
        <v>1</v>
      </c>
      <c r="J34" s="71"/>
    </row>
    <row r="35" spans="2:10" x14ac:dyDescent="0.25">
      <c r="B35" s="29"/>
      <c r="C35" s="9" t="s">
        <v>260</v>
      </c>
      <c r="D35" s="12">
        <v>76.2</v>
      </c>
      <c r="E35" s="11" t="s">
        <v>1</v>
      </c>
      <c r="J35" s="71"/>
    </row>
    <row r="36" spans="2:10" x14ac:dyDescent="0.25">
      <c r="B36" s="29"/>
      <c r="C36" s="9" t="s">
        <v>261</v>
      </c>
      <c r="D36" s="12">
        <v>250.1</v>
      </c>
      <c r="E36" s="11" t="s">
        <v>1</v>
      </c>
      <c r="J36" s="71"/>
    </row>
    <row r="37" spans="2:10" x14ac:dyDescent="0.25">
      <c r="B37" s="29"/>
      <c r="C37" s="9" t="s">
        <v>389</v>
      </c>
      <c r="D37" s="12">
        <v>76</v>
      </c>
      <c r="E37" s="11" t="s">
        <v>1</v>
      </c>
      <c r="J37" s="71"/>
    </row>
    <row r="38" spans="2:10" x14ac:dyDescent="0.25">
      <c r="B38" s="29"/>
      <c r="C38" s="9" t="s">
        <v>267</v>
      </c>
      <c r="D38" s="12">
        <v>133</v>
      </c>
      <c r="E38" s="11" t="s">
        <v>1</v>
      </c>
      <c r="J38" s="71"/>
    </row>
    <row r="39" spans="2:10" x14ac:dyDescent="0.25">
      <c r="B39" s="29"/>
      <c r="C39" s="9" t="s">
        <v>390</v>
      </c>
      <c r="D39" s="12">
        <v>76</v>
      </c>
      <c r="E39" s="11" t="s">
        <v>1</v>
      </c>
      <c r="J39" s="71"/>
    </row>
    <row r="40" spans="2:10" x14ac:dyDescent="0.25">
      <c r="B40" s="29"/>
      <c r="C40" s="9" t="s">
        <v>391</v>
      </c>
      <c r="D40" s="12">
        <v>310</v>
      </c>
      <c r="E40" s="11" t="s">
        <v>1</v>
      </c>
      <c r="J40" s="71"/>
    </row>
    <row r="41" spans="2:10" x14ac:dyDescent="0.25">
      <c r="B41" s="29"/>
      <c r="C41" s="9" t="s">
        <v>270</v>
      </c>
      <c r="D41" s="12">
        <f>4.25*25.4</f>
        <v>107.94999999999999</v>
      </c>
      <c r="E41" s="11" t="s">
        <v>1</v>
      </c>
      <c r="J41" s="71"/>
    </row>
    <row r="42" spans="2:10" x14ac:dyDescent="0.25">
      <c r="B42" s="29"/>
      <c r="C42" s="9" t="s">
        <v>271</v>
      </c>
      <c r="D42" s="12">
        <f>3*25.4</f>
        <v>76.199999999999989</v>
      </c>
      <c r="E42" s="11" t="s">
        <v>1</v>
      </c>
      <c r="J42" s="71"/>
    </row>
    <row r="43" spans="2:10" x14ac:dyDescent="0.25">
      <c r="B43" s="29"/>
      <c r="C43" s="9" t="s">
        <v>272</v>
      </c>
      <c r="D43" s="12">
        <f>9*25.4</f>
        <v>228.6</v>
      </c>
      <c r="E43" s="11" t="s">
        <v>1</v>
      </c>
      <c r="J43" s="71"/>
    </row>
    <row r="44" spans="2:10" x14ac:dyDescent="0.25">
      <c r="B44" s="29"/>
      <c r="C44" s="9" t="s">
        <v>262</v>
      </c>
      <c r="D44" s="12">
        <f>4.25*25.4</f>
        <v>107.94999999999999</v>
      </c>
      <c r="E44" s="11" t="s">
        <v>1</v>
      </c>
      <c r="J44" s="71"/>
    </row>
    <row r="45" spans="2:10" x14ac:dyDescent="0.25">
      <c r="B45" s="29"/>
      <c r="C45" s="9" t="s">
        <v>264</v>
      </c>
      <c r="D45" s="12">
        <f>3*25.4</f>
        <v>76.199999999999989</v>
      </c>
      <c r="E45" s="11" t="s">
        <v>1</v>
      </c>
      <c r="J45" s="71"/>
    </row>
    <row r="46" spans="2:10" x14ac:dyDescent="0.25">
      <c r="B46" s="29"/>
      <c r="C46" s="9" t="s">
        <v>263</v>
      </c>
      <c r="D46" s="12">
        <f>9*25.4</f>
        <v>228.6</v>
      </c>
      <c r="E46" s="11" t="s">
        <v>1</v>
      </c>
      <c r="J46" s="71"/>
    </row>
    <row r="47" spans="2:10" x14ac:dyDescent="0.25">
      <c r="B47" s="29"/>
      <c r="C47" s="9" t="s">
        <v>373</v>
      </c>
      <c r="D47" s="12">
        <v>3</v>
      </c>
      <c r="E47" s="11" t="s">
        <v>1</v>
      </c>
      <c r="J47" s="71"/>
    </row>
    <row r="48" spans="2:10" x14ac:dyDescent="0.25">
      <c r="B48" s="29"/>
      <c r="C48" s="13" t="s">
        <v>282</v>
      </c>
      <c r="D48" s="77">
        <v>15</v>
      </c>
      <c r="E48" s="15" t="s">
        <v>283</v>
      </c>
      <c r="J48" s="71"/>
    </row>
    <row r="49" spans="2:15" x14ac:dyDescent="0.25">
      <c r="B49" s="29"/>
      <c r="D49"/>
      <c r="J49" s="71"/>
    </row>
    <row r="50" spans="2:15" x14ac:dyDescent="0.25">
      <c r="B50" s="29" t="s">
        <v>367</v>
      </c>
      <c r="D50"/>
      <c r="J50" s="71"/>
    </row>
    <row r="51" spans="2:15" x14ac:dyDescent="0.25">
      <c r="C51" s="6" t="s">
        <v>372</v>
      </c>
      <c r="D51" s="45">
        <f>D98+D79+D81+D57+D39</f>
        <v>712.54442103031624</v>
      </c>
      <c r="E51" s="8" t="s">
        <v>1</v>
      </c>
      <c r="I51" s="35" t="s">
        <v>153</v>
      </c>
      <c r="J51" t="s">
        <v>387</v>
      </c>
    </row>
    <row r="52" spans="2:15" x14ac:dyDescent="0.25">
      <c r="C52" s="9" t="s">
        <v>125</v>
      </c>
      <c r="D52" s="43">
        <f>D85+(D31*2)+(D34)*2+D48*2</f>
        <v>972.5</v>
      </c>
      <c r="E52" s="11" t="s">
        <v>1</v>
      </c>
      <c r="I52" s="35" t="s">
        <v>140</v>
      </c>
      <c r="J52" s="71" t="s">
        <v>223</v>
      </c>
    </row>
    <row r="53" spans="2:15" x14ac:dyDescent="0.25">
      <c r="C53" s="9" t="s">
        <v>126</v>
      </c>
      <c r="D53" s="43">
        <f>D85+(D31*2)+(D34)*2+D48*2</f>
        <v>972.5</v>
      </c>
      <c r="E53" s="11" t="s">
        <v>1</v>
      </c>
      <c r="I53" s="35" t="s">
        <v>160</v>
      </c>
      <c r="J53" s="71" t="s">
        <v>223</v>
      </c>
    </row>
    <row r="54" spans="2:15" x14ac:dyDescent="0.25">
      <c r="C54" s="13" t="s">
        <v>265</v>
      </c>
      <c r="D54" s="41">
        <f>D57</f>
        <v>101.19999999999999</v>
      </c>
      <c r="E54" s="15" t="s">
        <v>1</v>
      </c>
      <c r="I54" s="35" t="s">
        <v>237</v>
      </c>
    </row>
    <row r="55" spans="2:15" x14ac:dyDescent="0.25">
      <c r="D55" s="39"/>
    </row>
    <row r="56" spans="2:15" x14ac:dyDescent="0.25">
      <c r="B56" s="29" t="s">
        <v>255</v>
      </c>
      <c r="H56" s="26"/>
    </row>
    <row r="57" spans="2:15" x14ac:dyDescent="0.25">
      <c r="C57" s="6" t="s">
        <v>256</v>
      </c>
      <c r="D57" s="45">
        <f>IF(D77/2.6 &lt;D42+2*D48, D42+2*D48-5,D77/2.6)</f>
        <v>101.19999999999999</v>
      </c>
      <c r="E57" s="8" t="s">
        <v>1</v>
      </c>
      <c r="H57" s="26"/>
      <c r="I57" s="35" t="s">
        <v>180</v>
      </c>
      <c r="J57" s="71" t="s">
        <v>223</v>
      </c>
    </row>
    <row r="58" spans="2:15" x14ac:dyDescent="0.25">
      <c r="C58" s="9" t="s">
        <v>104</v>
      </c>
      <c r="D58" s="39">
        <f>D80</f>
        <v>151.64001440432619</v>
      </c>
      <c r="E58" s="11" t="s">
        <v>1</v>
      </c>
      <c r="H58" s="26"/>
      <c r="I58" s="35" t="s">
        <v>171</v>
      </c>
      <c r="J58" s="71" t="s">
        <v>223</v>
      </c>
    </row>
    <row r="59" spans="2:15" x14ac:dyDescent="0.25">
      <c r="C59" s="9" t="s">
        <v>286</v>
      </c>
      <c r="D59" s="10">
        <f>(D53-D80)/2+D80</f>
        <v>562.07000720216308</v>
      </c>
      <c r="E59" s="11" t="s">
        <v>1</v>
      </c>
      <c r="H59" s="26"/>
      <c r="I59" s="73" t="s">
        <v>149</v>
      </c>
      <c r="J59" s="78" t="s">
        <v>287</v>
      </c>
      <c r="K59" s="72" t="s">
        <v>288</v>
      </c>
    </row>
    <row r="60" spans="2:15" x14ac:dyDescent="0.25">
      <c r="C60" s="9" t="s">
        <v>337</v>
      </c>
      <c r="D60" s="12">
        <v>15</v>
      </c>
      <c r="E60" s="11" t="s">
        <v>1</v>
      </c>
      <c r="H60" s="26"/>
      <c r="I60" s="35" t="s">
        <v>169</v>
      </c>
      <c r="J60" s="71"/>
    </row>
    <row r="61" spans="2:15" x14ac:dyDescent="0.25">
      <c r="C61" s="13" t="s">
        <v>338</v>
      </c>
      <c r="D61" s="14">
        <f>D40+24</f>
        <v>334</v>
      </c>
      <c r="E61" s="15" t="s">
        <v>1</v>
      </c>
      <c r="H61" s="26"/>
      <c r="I61" s="35" t="s">
        <v>172</v>
      </c>
      <c r="J61" s="71" t="s">
        <v>223</v>
      </c>
    </row>
    <row r="62" spans="2:15" x14ac:dyDescent="0.25">
      <c r="D62" s="10"/>
      <c r="H62" s="26"/>
    </row>
    <row r="63" spans="2:15" x14ac:dyDescent="0.25">
      <c r="B63" s="29" t="s">
        <v>315</v>
      </c>
      <c r="D63" s="10"/>
      <c r="H63" s="26"/>
      <c r="J63" s="6" t="s">
        <v>393</v>
      </c>
      <c r="K63" s="60" t="s">
        <v>363</v>
      </c>
      <c r="L63" s="60" t="s">
        <v>362</v>
      </c>
      <c r="M63" s="16" t="s">
        <v>364</v>
      </c>
      <c r="N63" s="60"/>
      <c r="O63" s="8"/>
    </row>
    <row r="64" spans="2:15" x14ac:dyDescent="0.25">
      <c r="B64" s="29"/>
      <c r="C64" s="6" t="s">
        <v>336</v>
      </c>
      <c r="D64" s="16">
        <f>ROUNDDOWN((D67-D31-D48)/D38,1)</f>
        <v>2.1</v>
      </c>
      <c r="E64" s="8"/>
      <c r="H64" s="26"/>
      <c r="J64" s="32">
        <f>D64*D37</f>
        <v>159.6</v>
      </c>
      <c r="K64" s="39">
        <f>D67</f>
        <v>410.42999279783692</v>
      </c>
      <c r="L64" s="39">
        <f>-(J64-K64)-D31-D48</f>
        <v>127.87999279783693</v>
      </c>
      <c r="M64" s="10" t="str">
        <f>IF(L64&gt;0,"Spare","Interference")</f>
        <v>Spare</v>
      </c>
      <c r="O64" s="11"/>
    </row>
    <row r="65" spans="2:15" x14ac:dyDescent="0.25">
      <c r="B65" s="29"/>
      <c r="C65" s="9" t="s">
        <v>388</v>
      </c>
      <c r="D65" s="10">
        <f>ROUNDUP(D194/(D37+D60),0)</f>
        <v>7</v>
      </c>
      <c r="E65" s="11"/>
      <c r="H65" s="26"/>
      <c r="J65" s="34">
        <f>D65*(D37+D60)-D60</f>
        <v>622</v>
      </c>
      <c r="K65" s="41">
        <f>D66</f>
        <v>562.07000720216308</v>
      </c>
      <c r="L65" s="41">
        <f>J65-K65</f>
        <v>59.929992797836917</v>
      </c>
      <c r="M65" s="61" t="s">
        <v>392</v>
      </c>
      <c r="N65" s="61"/>
      <c r="O65" s="15"/>
    </row>
    <row r="66" spans="2:15" x14ac:dyDescent="0.25">
      <c r="C66" s="9" t="s">
        <v>316</v>
      </c>
      <c r="D66" s="10">
        <f>(D53-D80)/2+D80</f>
        <v>562.07000720216308</v>
      </c>
      <c r="E66" s="11" t="s">
        <v>1</v>
      </c>
      <c r="H66" s="26"/>
      <c r="J66" s="71"/>
    </row>
    <row r="67" spans="2:15" x14ac:dyDescent="0.25">
      <c r="C67" s="9" t="s">
        <v>317</v>
      </c>
      <c r="D67" s="10">
        <f>D194-D80</f>
        <v>410.42999279783692</v>
      </c>
      <c r="E67" s="11" t="s">
        <v>1</v>
      </c>
      <c r="H67" s="26"/>
      <c r="J67" s="71"/>
    </row>
    <row r="68" spans="2:15" x14ac:dyDescent="0.25">
      <c r="C68" s="9" t="s">
        <v>109</v>
      </c>
      <c r="D68" s="10">
        <f>D77</f>
        <v>151.64001440432619</v>
      </c>
      <c r="E68" s="11" t="s">
        <v>1</v>
      </c>
      <c r="H68" s="26"/>
      <c r="I68" s="35" t="s">
        <v>145</v>
      </c>
      <c r="J68" s="71" t="s">
        <v>223</v>
      </c>
    </row>
    <row r="69" spans="2:15" x14ac:dyDescent="0.25">
      <c r="C69" s="13" t="s">
        <v>129</v>
      </c>
      <c r="D69" s="14">
        <f>D81</f>
        <v>101.59880965089856</v>
      </c>
      <c r="E69" s="15" t="s">
        <v>1</v>
      </c>
      <c r="H69" s="26"/>
      <c r="I69" s="35" t="s">
        <v>179</v>
      </c>
      <c r="J69" s="71" t="s">
        <v>223</v>
      </c>
    </row>
    <row r="70" spans="2:15" x14ac:dyDescent="0.25">
      <c r="D70" s="39"/>
    </row>
    <row r="71" spans="2:15" x14ac:dyDescent="0.25">
      <c r="B71" s="53" t="s">
        <v>177</v>
      </c>
    </row>
    <row r="72" spans="2:15" x14ac:dyDescent="0.25">
      <c r="C72" s="6" t="s">
        <v>266</v>
      </c>
      <c r="D72" s="56">
        <f>D96+D79+D81</f>
        <v>274.46842607183044</v>
      </c>
      <c r="E72" s="8" t="s">
        <v>1</v>
      </c>
      <c r="I72" s="35" t="s">
        <v>156</v>
      </c>
    </row>
    <row r="73" spans="2:15" x14ac:dyDescent="0.25">
      <c r="C73" s="13" t="s">
        <v>178</v>
      </c>
      <c r="D73" s="42">
        <f>D96+D79+D81+D57</f>
        <v>375.66842607183042</v>
      </c>
      <c r="E73" s="15" t="s">
        <v>1</v>
      </c>
      <c r="I73" s="35" t="s">
        <v>157</v>
      </c>
      <c r="J73" t="s">
        <v>280</v>
      </c>
    </row>
    <row r="74" spans="2:15" x14ac:dyDescent="0.25">
      <c r="D74" s="39"/>
    </row>
    <row r="75" spans="2:15" x14ac:dyDescent="0.25">
      <c r="B75" s="29" t="s">
        <v>309</v>
      </c>
      <c r="D75" s="10"/>
      <c r="H75" s="26"/>
    </row>
    <row r="76" spans="2:15" ht="17.25" x14ac:dyDescent="0.25">
      <c r="C76" s="6" t="s">
        <v>123</v>
      </c>
      <c r="D76" s="7">
        <v>65</v>
      </c>
      <c r="E76" s="8" t="s">
        <v>85</v>
      </c>
      <c r="H76" s="26"/>
      <c r="J76" s="71" t="s">
        <v>223</v>
      </c>
      <c r="K76" t="s">
        <v>239</v>
      </c>
    </row>
    <row r="77" spans="2:15" x14ac:dyDescent="0.25">
      <c r="C77" s="9" t="s">
        <v>110</v>
      </c>
      <c r="D77" s="10">
        <f>SQRT(D137/D76*82.5)</f>
        <v>151.64001440432619</v>
      </c>
      <c r="E77" s="11" t="s">
        <v>1</v>
      </c>
      <c r="H77" s="26"/>
      <c r="I77" s="35" t="s">
        <v>144</v>
      </c>
      <c r="J77" s="71" t="s">
        <v>223</v>
      </c>
    </row>
    <row r="78" spans="2:15" x14ac:dyDescent="0.25">
      <c r="C78" s="9" t="s">
        <v>369</v>
      </c>
      <c r="D78" s="10">
        <f>D77+2*D42+2*D48</f>
        <v>334.04001440432614</v>
      </c>
      <c r="E78" s="11" t="s">
        <v>1</v>
      </c>
      <c r="H78" s="26"/>
      <c r="J78" s="71"/>
    </row>
    <row r="79" spans="2:15" x14ac:dyDescent="0.25">
      <c r="C79" s="9" t="s">
        <v>252</v>
      </c>
      <c r="D79" s="10">
        <f>D77*0.79</f>
        <v>119.79561137941769</v>
      </c>
      <c r="E79" s="11" t="s">
        <v>1</v>
      </c>
      <c r="H79" s="26"/>
      <c r="I79" s="35" t="s">
        <v>164</v>
      </c>
      <c r="J79" s="71" t="s">
        <v>223</v>
      </c>
      <c r="K79" s="76"/>
    </row>
    <row r="80" spans="2:15" x14ac:dyDescent="0.25">
      <c r="C80" s="9" t="s">
        <v>253</v>
      </c>
      <c r="D80" s="10">
        <f>D77</f>
        <v>151.64001440432619</v>
      </c>
      <c r="E80" s="11" t="s">
        <v>1</v>
      </c>
      <c r="H80" s="26"/>
      <c r="I80" s="35" t="s">
        <v>167</v>
      </c>
      <c r="J80" s="71" t="s">
        <v>223</v>
      </c>
      <c r="K80" s="75"/>
    </row>
    <row r="81" spans="2:11" x14ac:dyDescent="0.25">
      <c r="C81" s="13" t="s">
        <v>254</v>
      </c>
      <c r="D81" s="14">
        <f>D77*0.67</f>
        <v>101.59880965089856</v>
      </c>
      <c r="E81" s="15" t="s">
        <v>1</v>
      </c>
      <c r="H81" s="26"/>
      <c r="I81" s="35" t="s">
        <v>176</v>
      </c>
      <c r="J81" s="71" t="s">
        <v>223</v>
      </c>
      <c r="K81" s="76"/>
    </row>
    <row r="83" spans="2:11" x14ac:dyDescent="0.25">
      <c r="B83" s="29" t="s">
        <v>119</v>
      </c>
      <c r="D83"/>
    </row>
    <row r="84" spans="2:11" x14ac:dyDescent="0.25">
      <c r="C84" s="6" t="s">
        <v>233</v>
      </c>
      <c r="D84" s="7">
        <v>40</v>
      </c>
      <c r="E84" s="8" t="s">
        <v>1</v>
      </c>
      <c r="I84" s="35" t="s">
        <v>138</v>
      </c>
      <c r="J84" s="71" t="s">
        <v>223</v>
      </c>
    </row>
    <row r="85" spans="2:11" x14ac:dyDescent="0.25">
      <c r="C85" s="9" t="s">
        <v>235</v>
      </c>
      <c r="D85" s="39">
        <f>D84*2+D16</f>
        <v>544</v>
      </c>
      <c r="E85" s="11" t="s">
        <v>1</v>
      </c>
      <c r="I85" s="35" t="s">
        <v>165</v>
      </c>
      <c r="J85" s="71" t="s">
        <v>223</v>
      </c>
    </row>
    <row r="86" spans="2:11" x14ac:dyDescent="0.25">
      <c r="C86" s="9" t="s">
        <v>120</v>
      </c>
      <c r="D86" s="39">
        <f>(D9+D12)-D15+D42-D28</f>
        <v>313.95</v>
      </c>
      <c r="E86" s="11" t="s">
        <v>1</v>
      </c>
      <c r="I86" s="35" t="s">
        <v>154</v>
      </c>
      <c r="J86" s="71" t="s">
        <v>223</v>
      </c>
      <c r="K86" s="76"/>
    </row>
    <row r="87" spans="2:11" x14ac:dyDescent="0.25">
      <c r="C87" s="9" t="s">
        <v>174</v>
      </c>
      <c r="D87" s="43">
        <f>D52</f>
        <v>972.5</v>
      </c>
      <c r="E87" s="11" t="s">
        <v>1</v>
      </c>
      <c r="I87" s="35" t="s">
        <v>141</v>
      </c>
      <c r="J87" s="71" t="s">
        <v>223</v>
      </c>
    </row>
    <row r="88" spans="2:11" x14ac:dyDescent="0.25">
      <c r="C88" s="9" t="s">
        <v>173</v>
      </c>
      <c r="D88" s="10">
        <f>D87</f>
        <v>972.5</v>
      </c>
      <c r="E88" s="11" t="s">
        <v>1</v>
      </c>
      <c r="I88" s="35" t="s">
        <v>161</v>
      </c>
      <c r="J88" s="71" t="s">
        <v>223</v>
      </c>
    </row>
    <row r="89" spans="2:11" x14ac:dyDescent="0.25">
      <c r="C89" s="9" t="s">
        <v>175</v>
      </c>
      <c r="D89" s="43">
        <f>D86</f>
        <v>313.95</v>
      </c>
      <c r="E89" s="11" t="s">
        <v>1</v>
      </c>
      <c r="I89" s="35" t="s">
        <v>155</v>
      </c>
      <c r="J89" s="71" t="s">
        <v>223</v>
      </c>
    </row>
    <row r="90" spans="2:11" x14ac:dyDescent="0.25">
      <c r="C90" s="13" t="s">
        <v>213</v>
      </c>
      <c r="D90" s="42">
        <f>(D52-D85)/2</f>
        <v>214.25</v>
      </c>
      <c r="E90" s="15" t="s">
        <v>1</v>
      </c>
      <c r="I90" s="35" t="s">
        <v>216</v>
      </c>
      <c r="J90" s="71" t="s">
        <v>223</v>
      </c>
    </row>
    <row r="91" spans="2:11" x14ac:dyDescent="0.25">
      <c r="D91" s="43"/>
    </row>
    <row r="92" spans="2:11" x14ac:dyDescent="0.25">
      <c r="B92" s="29" t="s">
        <v>311</v>
      </c>
      <c r="D92" s="26"/>
    </row>
    <row r="93" spans="2:11" x14ac:dyDescent="0.25">
      <c r="B93" s="29"/>
      <c r="C93" s="6" t="s">
        <v>353</v>
      </c>
      <c r="D93" s="45">
        <f>(D94*2+2*D95)/(D14*PI())*D96</f>
        <v>22.08451247401247</v>
      </c>
      <c r="E93" s="8" t="s">
        <v>1</v>
      </c>
      <c r="I93" s="35" t="s">
        <v>158</v>
      </c>
      <c r="J93" s="71" t="s">
        <v>223</v>
      </c>
    </row>
    <row r="94" spans="2:11" x14ac:dyDescent="0.25">
      <c r="C94" s="9" t="s">
        <v>312</v>
      </c>
      <c r="D94" s="10">
        <f>D77</f>
        <v>151.64001440432619</v>
      </c>
      <c r="E94" s="11" t="s">
        <v>1</v>
      </c>
      <c r="I94" s="73" t="s">
        <v>142</v>
      </c>
    </row>
    <row r="95" spans="2:11" x14ac:dyDescent="0.25">
      <c r="C95" s="9" t="s">
        <v>313</v>
      </c>
      <c r="D95" s="10">
        <f>D80</f>
        <v>151.64001440432619</v>
      </c>
      <c r="E95" s="11" t="s">
        <v>1</v>
      </c>
      <c r="I95" s="73" t="s">
        <v>143</v>
      </c>
    </row>
    <row r="96" spans="2:11" x14ac:dyDescent="0.25">
      <c r="C96" s="9" t="s">
        <v>314</v>
      </c>
      <c r="D96" s="10">
        <f>D94*0.35</f>
        <v>53.074005041514162</v>
      </c>
      <c r="E96" s="11" t="s">
        <v>1</v>
      </c>
      <c r="I96" s="35" t="s">
        <v>159</v>
      </c>
    </row>
    <row r="97" spans="2:11" x14ac:dyDescent="0.25">
      <c r="C97" s="9" t="s">
        <v>354</v>
      </c>
      <c r="D97" s="10">
        <f>D14+2*D84</f>
        <v>544</v>
      </c>
      <c r="E97" s="11" t="s">
        <v>1</v>
      </c>
    </row>
    <row r="98" spans="2:11" x14ac:dyDescent="0.25">
      <c r="C98" s="13" t="s">
        <v>355</v>
      </c>
      <c r="D98" s="14">
        <f>(D9+D12)-D15+D42-D28</f>
        <v>313.95</v>
      </c>
      <c r="E98" s="15" t="s">
        <v>1</v>
      </c>
    </row>
    <row r="100" spans="2:11" x14ac:dyDescent="0.25">
      <c r="B100" s="29" t="s">
        <v>71</v>
      </c>
      <c r="D100" s="26"/>
    </row>
    <row r="101" spans="2:11" x14ac:dyDescent="0.25">
      <c r="C101" s="6" t="s">
        <v>206</v>
      </c>
      <c r="D101" s="7">
        <v>102</v>
      </c>
      <c r="E101" s="8" t="s">
        <v>1</v>
      </c>
      <c r="F101" s="11"/>
      <c r="I101" s="35" t="s">
        <v>185</v>
      </c>
      <c r="J101" s="71" t="s">
        <v>223</v>
      </c>
    </row>
    <row r="102" spans="2:11" x14ac:dyDescent="0.25">
      <c r="C102" s="9" t="s">
        <v>209</v>
      </c>
      <c r="D102" s="18">
        <v>1.6</v>
      </c>
      <c r="E102" s="11" t="s">
        <v>1</v>
      </c>
      <c r="I102" s="35" t="s">
        <v>210</v>
      </c>
      <c r="J102" s="71" t="s">
        <v>223</v>
      </c>
    </row>
    <row r="103" spans="2:11" x14ac:dyDescent="0.25">
      <c r="C103" s="9" t="s">
        <v>207</v>
      </c>
      <c r="D103" s="39">
        <f>D101-2*D102</f>
        <v>98.8</v>
      </c>
      <c r="E103" s="11" t="s">
        <v>1</v>
      </c>
      <c r="I103" s="35" t="s">
        <v>208</v>
      </c>
      <c r="J103" s="71" t="s">
        <v>223</v>
      </c>
    </row>
    <row r="104" spans="2:11" x14ac:dyDescent="0.25">
      <c r="C104" s="9" t="s">
        <v>351</v>
      </c>
      <c r="D104" s="39">
        <f>1.45*D101</f>
        <v>147.9</v>
      </c>
      <c r="E104" s="11" t="s">
        <v>1</v>
      </c>
      <c r="J104" s="71"/>
    </row>
    <row r="105" spans="2:11" x14ac:dyDescent="0.25">
      <c r="C105" s="9" t="s">
        <v>352</v>
      </c>
      <c r="D105" s="39">
        <f>1.12*D101</f>
        <v>114.24000000000001</v>
      </c>
      <c r="E105" s="11" t="s">
        <v>1</v>
      </c>
      <c r="J105" s="71"/>
    </row>
    <row r="106" spans="2:11" x14ac:dyDescent="0.25">
      <c r="C106" s="13" t="s">
        <v>275</v>
      </c>
      <c r="D106" s="59">
        <f>D186</f>
        <v>2.0471003056832613</v>
      </c>
      <c r="E106" s="15" t="s">
        <v>52</v>
      </c>
      <c r="I106" s="68" t="s">
        <v>128</v>
      </c>
    </row>
    <row r="107" spans="2:11" x14ac:dyDescent="0.25">
      <c r="D107" s="43"/>
    </row>
    <row r="108" spans="2:11" x14ac:dyDescent="0.25">
      <c r="B108" s="29" t="s">
        <v>241</v>
      </c>
      <c r="D108" s="10"/>
      <c r="H108" s="26"/>
    </row>
    <row r="109" spans="2:11" x14ac:dyDescent="0.25">
      <c r="B109" s="28"/>
      <c r="C109" s="6" t="s">
        <v>273</v>
      </c>
      <c r="D109" s="16">
        <f>D40</f>
        <v>310</v>
      </c>
      <c r="E109" s="8" t="s">
        <v>1</v>
      </c>
      <c r="H109" s="26"/>
      <c r="I109" s="35" t="s">
        <v>168</v>
      </c>
      <c r="J109" s="71" t="s">
        <v>223</v>
      </c>
    </row>
    <row r="110" spans="2:11" x14ac:dyDescent="0.25">
      <c r="B110" s="28"/>
      <c r="C110" s="9" t="s">
        <v>240</v>
      </c>
      <c r="D110" s="10">
        <f>D39</f>
        <v>76</v>
      </c>
      <c r="E110" s="11" t="s">
        <v>1</v>
      </c>
      <c r="H110" s="26"/>
      <c r="I110" s="35" t="s">
        <v>146</v>
      </c>
      <c r="J110" s="71" t="s">
        <v>223</v>
      </c>
      <c r="K110" s="76"/>
    </row>
    <row r="111" spans="2:11" ht="17.25" x14ac:dyDescent="0.25">
      <c r="B111" s="28"/>
      <c r="C111" s="9" t="s">
        <v>274</v>
      </c>
      <c r="D111" s="10">
        <f>D113/D112</f>
        <v>2274.6002160648927</v>
      </c>
      <c r="E111" s="11" t="s">
        <v>90</v>
      </c>
      <c r="H111" s="26"/>
      <c r="I111" s="35" t="s">
        <v>163</v>
      </c>
      <c r="J111" s="71" t="s">
        <v>223</v>
      </c>
    </row>
    <row r="112" spans="2:11" x14ac:dyDescent="0.25">
      <c r="B112" s="28"/>
      <c r="C112" s="9" t="s">
        <v>297</v>
      </c>
      <c r="D112" s="10">
        <f>D65-1</f>
        <v>6</v>
      </c>
      <c r="E112" s="11"/>
      <c r="H112" s="26"/>
      <c r="I112" s="35" t="s">
        <v>166</v>
      </c>
      <c r="J112" s="71" t="s">
        <v>223</v>
      </c>
    </row>
    <row r="113" spans="2:13" ht="17.25" x14ac:dyDescent="0.25">
      <c r="B113" s="28"/>
      <c r="C113" s="9" t="s">
        <v>298</v>
      </c>
      <c r="D113" s="10">
        <f>D77*D60*D112</f>
        <v>13647.601296389355</v>
      </c>
      <c r="E113" s="11" t="s">
        <v>90</v>
      </c>
      <c r="H113" s="26"/>
      <c r="I113" s="35" t="s">
        <v>162</v>
      </c>
      <c r="J113" s="71" t="s">
        <v>223</v>
      </c>
    </row>
    <row r="114" spans="2:13" x14ac:dyDescent="0.25">
      <c r="B114" s="28"/>
      <c r="C114" s="13" t="s">
        <v>124</v>
      </c>
      <c r="D114" s="14">
        <f>SQRT(D111/PI())*2</f>
        <v>53.81552697462849</v>
      </c>
      <c r="E114" s="15" t="s">
        <v>1</v>
      </c>
      <c r="H114" s="26"/>
      <c r="I114" s="35" t="s">
        <v>150</v>
      </c>
      <c r="J114" s="71" t="s">
        <v>223</v>
      </c>
    </row>
    <row r="115" spans="2:13" x14ac:dyDescent="0.25">
      <c r="D115"/>
    </row>
    <row r="116" spans="2:13" x14ac:dyDescent="0.25">
      <c r="B116" s="29" t="s">
        <v>115</v>
      </c>
    </row>
    <row r="117" spans="2:13" ht="17.25" x14ac:dyDescent="0.25">
      <c r="C117" s="6" t="s">
        <v>247</v>
      </c>
      <c r="D117" s="16">
        <f>(D16/20)^2*PI()</f>
        <v>1690.9308298681703</v>
      </c>
      <c r="E117" s="8" t="s">
        <v>2</v>
      </c>
      <c r="G117" t="s">
        <v>248</v>
      </c>
      <c r="J117" s="71" t="s">
        <v>223</v>
      </c>
    </row>
    <row r="118" spans="2:13" x14ac:dyDescent="0.25">
      <c r="C118" s="9" t="s">
        <v>5</v>
      </c>
      <c r="D118" s="10">
        <f>D16*PI()</f>
        <v>1457.6989912656641</v>
      </c>
      <c r="E118" s="11" t="s">
        <v>1</v>
      </c>
      <c r="G118" t="s">
        <v>91</v>
      </c>
      <c r="J118" s="71" t="s">
        <v>223</v>
      </c>
      <c r="M118" s="3"/>
    </row>
    <row r="119" spans="2:13" x14ac:dyDescent="0.25">
      <c r="C119" s="9" t="s">
        <v>276</v>
      </c>
      <c r="D119" s="12">
        <v>60</v>
      </c>
      <c r="E119" s="11" t="s">
        <v>4</v>
      </c>
      <c r="G119" t="s">
        <v>251</v>
      </c>
      <c r="J119" s="71" t="s">
        <v>223</v>
      </c>
    </row>
    <row r="120" spans="2:13" ht="17.25" x14ac:dyDescent="0.25">
      <c r="C120" s="9" t="s">
        <v>249</v>
      </c>
      <c r="D120" s="10">
        <f>D118*D119/1000*((D18-D15-D24)/10)+D117</f>
        <v>3385.505907214505</v>
      </c>
      <c r="E120" s="11" t="s">
        <v>2</v>
      </c>
      <c r="G120" t="str">
        <f>"Bottom area plus side heated at the nominal rate over "&amp;D119&amp;"% of the available area."</f>
        <v>Bottom area plus side heated at the nominal rate over 60% of the available area.</v>
      </c>
      <c r="J120" s="71" t="s">
        <v>223</v>
      </c>
      <c r="L120" s="29"/>
    </row>
    <row r="121" spans="2:13" ht="17.25" x14ac:dyDescent="0.25">
      <c r="C121" s="9" t="s">
        <v>6</v>
      </c>
      <c r="D121" s="18">
        <v>2</v>
      </c>
      <c r="E121" s="11" t="s">
        <v>277</v>
      </c>
      <c r="G121" t="s">
        <v>250</v>
      </c>
      <c r="J121" s="71" t="s">
        <v>223</v>
      </c>
    </row>
    <row r="122" spans="2:13" x14ac:dyDescent="0.25">
      <c r="C122" s="9" t="s">
        <v>7</v>
      </c>
      <c r="D122" s="10">
        <f>D121*D120</f>
        <v>6771.01181442901</v>
      </c>
      <c r="E122" s="11" t="s">
        <v>8</v>
      </c>
      <c r="G122" t="s">
        <v>92</v>
      </c>
      <c r="J122" s="71" t="s">
        <v>223</v>
      </c>
    </row>
    <row r="123" spans="2:13" x14ac:dyDescent="0.25">
      <c r="C123" s="9" t="s">
        <v>9</v>
      </c>
      <c r="D123" s="12">
        <v>90</v>
      </c>
      <c r="E123" s="11" t="s">
        <v>4</v>
      </c>
      <c r="J123" s="71" t="s">
        <v>223</v>
      </c>
    </row>
    <row r="124" spans="2:13" x14ac:dyDescent="0.25">
      <c r="C124" s="9" t="s">
        <v>10</v>
      </c>
      <c r="D124" s="10">
        <f>D123/100*D10</f>
        <v>48.16193484844603</v>
      </c>
      <c r="E124" s="11" t="s">
        <v>3</v>
      </c>
      <c r="J124" s="71" t="s">
        <v>223</v>
      </c>
    </row>
    <row r="125" spans="2:13" x14ac:dyDescent="0.25">
      <c r="C125" s="9" t="s">
        <v>11</v>
      </c>
      <c r="D125" s="12">
        <v>25</v>
      </c>
      <c r="E125" s="30" t="s">
        <v>13</v>
      </c>
      <c r="J125" s="71" t="s">
        <v>223</v>
      </c>
    </row>
    <row r="126" spans="2:13" x14ac:dyDescent="0.25">
      <c r="C126" s="9" t="s">
        <v>12</v>
      </c>
      <c r="D126" s="12">
        <v>95</v>
      </c>
      <c r="E126" s="30" t="s">
        <v>13</v>
      </c>
      <c r="G126" t="s">
        <v>93</v>
      </c>
      <c r="J126" s="71" t="s">
        <v>223</v>
      </c>
      <c r="M126" s="3"/>
    </row>
    <row r="127" spans="2:13" x14ac:dyDescent="0.25">
      <c r="C127" s="9" t="s">
        <v>14</v>
      </c>
      <c r="D127" s="10">
        <f>D126-D125</f>
        <v>70</v>
      </c>
      <c r="E127" s="30" t="s">
        <v>13</v>
      </c>
      <c r="J127" s="71" t="s">
        <v>223</v>
      </c>
      <c r="M127" s="3"/>
    </row>
    <row r="128" spans="2:13" x14ac:dyDescent="0.25">
      <c r="C128" s="9" t="s">
        <v>394</v>
      </c>
      <c r="D128" s="21">
        <f>D124*4.186*D127/1000</f>
        <v>14.112410149291657</v>
      </c>
      <c r="E128" s="30" t="s">
        <v>16</v>
      </c>
      <c r="J128" s="71" t="s">
        <v>223</v>
      </c>
      <c r="M128" s="3"/>
    </row>
    <row r="129" spans="2:13" x14ac:dyDescent="0.25">
      <c r="C129" s="9" t="s">
        <v>17</v>
      </c>
      <c r="D129" s="10">
        <f>D128*1000000/D122/60</f>
        <v>34.73732468171189</v>
      </c>
      <c r="E129" s="30" t="s">
        <v>18</v>
      </c>
      <c r="G129" t="s">
        <v>77</v>
      </c>
      <c r="J129" s="71" t="s">
        <v>223</v>
      </c>
    </row>
    <row r="130" spans="2:13" x14ac:dyDescent="0.25">
      <c r="C130" s="9" t="s">
        <v>19</v>
      </c>
      <c r="D130" s="12">
        <v>5</v>
      </c>
      <c r="E130" s="30" t="s">
        <v>4</v>
      </c>
      <c r="G130" t="s">
        <v>87</v>
      </c>
      <c r="J130" s="71" t="s">
        <v>223</v>
      </c>
      <c r="M130" s="3"/>
    </row>
    <row r="131" spans="2:13" x14ac:dyDescent="0.25">
      <c r="C131" s="13" t="s">
        <v>20</v>
      </c>
      <c r="D131" s="14">
        <f>D129*(100+D130)/100</f>
        <v>36.474190915797486</v>
      </c>
      <c r="E131" s="31" t="s">
        <v>18</v>
      </c>
      <c r="G131" t="str">
        <f>"Expected boiling time for "&amp;ROUND(D124,0)&amp;" litres."</f>
        <v>Expected boiling time for 48 litres.</v>
      </c>
      <c r="J131" s="71" t="s">
        <v>223</v>
      </c>
    </row>
    <row r="133" spans="2:13" x14ac:dyDescent="0.25">
      <c r="B133" s="29" t="s">
        <v>114</v>
      </c>
    </row>
    <row r="134" spans="2:13" x14ac:dyDescent="0.25">
      <c r="C134" s="6" t="s">
        <v>111</v>
      </c>
      <c r="D134" s="7">
        <v>37</v>
      </c>
      <c r="E134" s="8" t="s">
        <v>278</v>
      </c>
      <c r="G134" t="s">
        <v>103</v>
      </c>
      <c r="J134" s="71" t="s">
        <v>223</v>
      </c>
    </row>
    <row r="135" spans="2:13" x14ac:dyDescent="0.25">
      <c r="C135" s="9" t="s">
        <v>112</v>
      </c>
      <c r="D135" s="10">
        <f>D122/(D134/100)</f>
        <v>18300.031930889218</v>
      </c>
      <c r="E135" s="11" t="s">
        <v>8</v>
      </c>
      <c r="G135" t="s">
        <v>78</v>
      </c>
      <c r="J135" s="71" t="s">
        <v>223</v>
      </c>
      <c r="L135" t="s">
        <v>113</v>
      </c>
    </row>
    <row r="136" spans="2:13" x14ac:dyDescent="0.25">
      <c r="C136" s="9" t="s">
        <v>21</v>
      </c>
      <c r="D136" s="12">
        <v>99</v>
      </c>
      <c r="E136" s="11" t="s">
        <v>4</v>
      </c>
      <c r="G136" t="s">
        <v>79</v>
      </c>
      <c r="J136" s="71" t="s">
        <v>223</v>
      </c>
    </row>
    <row r="137" spans="2:13" x14ac:dyDescent="0.25">
      <c r="C137" s="13" t="s">
        <v>86</v>
      </c>
      <c r="D137" s="14">
        <f>D135*(D136/100)</f>
        <v>18117.031611580325</v>
      </c>
      <c r="E137" s="15" t="s">
        <v>8</v>
      </c>
      <c r="G137" t="s">
        <v>88</v>
      </c>
      <c r="J137" s="71" t="s">
        <v>223</v>
      </c>
    </row>
    <row r="138" spans="2:13" x14ac:dyDescent="0.25">
      <c r="D138" s="10"/>
    </row>
    <row r="139" spans="2:13" x14ac:dyDescent="0.25">
      <c r="B139" s="29" t="s">
        <v>116</v>
      </c>
      <c r="D139" s="10"/>
    </row>
    <row r="140" spans="2:13" x14ac:dyDescent="0.25">
      <c r="C140" s="6" t="s">
        <v>29</v>
      </c>
      <c r="D140" s="7" t="s">
        <v>30</v>
      </c>
      <c r="E140" s="8"/>
      <c r="F140" s="8"/>
      <c r="J140" s="71" t="s">
        <v>223</v>
      </c>
    </row>
    <row r="141" spans="2:13" x14ac:dyDescent="0.25">
      <c r="C141" s="9" t="s">
        <v>31</v>
      </c>
      <c r="D141" s="12">
        <v>14</v>
      </c>
      <c r="E141" s="11" t="s">
        <v>32</v>
      </c>
      <c r="F141" s="11"/>
      <c r="J141" s="71" t="s">
        <v>223</v>
      </c>
    </row>
    <row r="142" spans="2:13" x14ac:dyDescent="0.25">
      <c r="C142" s="9" t="s">
        <v>33</v>
      </c>
      <c r="D142" s="17">
        <v>20</v>
      </c>
      <c r="E142" s="11" t="s">
        <v>34</v>
      </c>
      <c r="F142" s="11"/>
      <c r="G142" t="s">
        <v>94</v>
      </c>
      <c r="J142" s="71" t="s">
        <v>223</v>
      </c>
    </row>
    <row r="143" spans="2:13" x14ac:dyDescent="0.25">
      <c r="C143" s="9" t="s">
        <v>28</v>
      </c>
      <c r="D143" s="17">
        <v>5.85</v>
      </c>
      <c r="E143" s="11" t="s">
        <v>4</v>
      </c>
      <c r="F143" s="11"/>
      <c r="G143" t="s">
        <v>95</v>
      </c>
      <c r="J143" s="71" t="s">
        <v>223</v>
      </c>
    </row>
    <row r="144" spans="2:13" ht="18" x14ac:dyDescent="0.35">
      <c r="C144" s="9" t="s">
        <v>35</v>
      </c>
      <c r="D144" s="18">
        <v>19.399999999999999</v>
      </c>
      <c r="E144" s="11" t="s">
        <v>4</v>
      </c>
      <c r="F144" s="11"/>
      <c r="G144" t="s">
        <v>80</v>
      </c>
      <c r="J144" s="71" t="s">
        <v>223</v>
      </c>
    </row>
    <row r="145" spans="2:12" x14ac:dyDescent="0.25">
      <c r="C145" s="9" t="s">
        <v>23</v>
      </c>
      <c r="D145" s="19">
        <f>D142-(D143/100*9*2.592)</f>
        <v>18.635311999999999</v>
      </c>
      <c r="E145" s="11" t="s">
        <v>24</v>
      </c>
      <c r="F145" s="11"/>
      <c r="J145" s="71" t="s">
        <v>223</v>
      </c>
    </row>
    <row r="146" spans="2:12" x14ac:dyDescent="0.25">
      <c r="C146" s="9" t="s">
        <v>25</v>
      </c>
      <c r="D146" s="19">
        <f>(D145*(1-D141/100))-(D141*0.02592)</f>
        <v>15.663488319999999</v>
      </c>
      <c r="E146" s="11" t="s">
        <v>25</v>
      </c>
      <c r="F146" s="11"/>
      <c r="J146" s="71" t="s">
        <v>223</v>
      </c>
    </row>
    <row r="147" spans="2:12" x14ac:dyDescent="0.25">
      <c r="C147" s="9" t="s">
        <v>26</v>
      </c>
      <c r="D147" s="18">
        <v>45.6</v>
      </c>
      <c r="E147" s="11" t="s">
        <v>4</v>
      </c>
      <c r="F147" s="11"/>
      <c r="G147" t="s">
        <v>246</v>
      </c>
      <c r="J147" s="71" t="s">
        <v>223</v>
      </c>
    </row>
    <row r="148" spans="2:12" ht="18" x14ac:dyDescent="0.35">
      <c r="C148" s="9" t="s">
        <v>27</v>
      </c>
      <c r="D148" s="19">
        <f>D147/100*((1-D141/100)/12*44)</f>
        <v>1.4379200000000001</v>
      </c>
      <c r="E148" s="11" t="s">
        <v>97</v>
      </c>
      <c r="F148" s="11"/>
      <c r="G148" t="s">
        <v>96</v>
      </c>
      <c r="J148" s="71" t="s">
        <v>223</v>
      </c>
    </row>
    <row r="149" spans="2:12" x14ac:dyDescent="0.25">
      <c r="C149" s="13" t="s">
        <v>395</v>
      </c>
      <c r="D149" s="20">
        <f>D137/(D146*1000000)*3600</f>
        <v>4.1639073282552923</v>
      </c>
      <c r="E149" s="15" t="s">
        <v>39</v>
      </c>
      <c r="F149" s="15"/>
      <c r="J149" s="71" t="s">
        <v>223</v>
      </c>
    </row>
    <row r="150" spans="2:12" x14ac:dyDescent="0.25">
      <c r="D150" s="2"/>
    </row>
    <row r="151" spans="2:12" x14ac:dyDescent="0.25">
      <c r="B151" s="29" t="s">
        <v>117</v>
      </c>
      <c r="D151" s="2"/>
    </row>
    <row r="152" spans="2:12" x14ac:dyDescent="0.25">
      <c r="C152" s="6" t="s">
        <v>48</v>
      </c>
      <c r="D152" s="23"/>
      <c r="E152" s="8"/>
      <c r="F152" s="8"/>
    </row>
    <row r="153" spans="2:12" ht="17.25" x14ac:dyDescent="0.25">
      <c r="C153" s="9" t="s">
        <v>40</v>
      </c>
      <c r="D153" s="17">
        <v>3.56</v>
      </c>
      <c r="E153" s="11" t="s">
        <v>37</v>
      </c>
      <c r="F153" s="11"/>
      <c r="G153" t="s">
        <v>242</v>
      </c>
      <c r="J153" s="71" t="s">
        <v>223</v>
      </c>
    </row>
    <row r="154" spans="2:12" x14ac:dyDescent="0.25">
      <c r="C154" s="9" t="s">
        <v>41</v>
      </c>
      <c r="D154" s="17">
        <v>4.0999999999999996</v>
      </c>
      <c r="E154" s="11" t="s">
        <v>38</v>
      </c>
      <c r="F154" s="11"/>
      <c r="J154" s="71" t="s">
        <v>223</v>
      </c>
    </row>
    <row r="155" spans="2:12" x14ac:dyDescent="0.25">
      <c r="C155" s="9" t="s">
        <v>396</v>
      </c>
      <c r="D155" s="12">
        <v>100</v>
      </c>
      <c r="E155" s="11" t="s">
        <v>4</v>
      </c>
      <c r="F155" s="11"/>
      <c r="J155" s="71" t="s">
        <v>223</v>
      </c>
    </row>
    <row r="156" spans="2:12" ht="17.25" x14ac:dyDescent="0.25">
      <c r="C156" s="9" t="s">
        <v>47</v>
      </c>
      <c r="D156" s="19">
        <f>D154*D155/100+D153</f>
        <v>7.66</v>
      </c>
      <c r="E156" s="11" t="s">
        <v>42</v>
      </c>
      <c r="F156" s="11"/>
      <c r="J156" s="71" t="s">
        <v>223</v>
      </c>
    </row>
    <row r="157" spans="2:12" ht="17.25" x14ac:dyDescent="0.25">
      <c r="C157" s="9" t="s">
        <v>46</v>
      </c>
      <c r="D157" s="19">
        <f>D154+D154*D155/100</f>
        <v>8.1999999999999993</v>
      </c>
      <c r="E157" s="11" t="s">
        <v>42</v>
      </c>
      <c r="F157" s="11"/>
      <c r="G157" t="s">
        <v>81</v>
      </c>
      <c r="J157" s="71" t="s">
        <v>223</v>
      </c>
    </row>
    <row r="158" spans="2:12" ht="17.25" x14ac:dyDescent="0.25">
      <c r="C158" s="9" t="s">
        <v>45</v>
      </c>
      <c r="D158" s="21">
        <f>D156*D149</f>
        <v>31.895530134435539</v>
      </c>
      <c r="E158" s="11" t="s">
        <v>43</v>
      </c>
      <c r="F158" s="11"/>
      <c r="J158" s="71" t="s">
        <v>223</v>
      </c>
      <c r="L158" s="80" t="s">
        <v>339</v>
      </c>
    </row>
    <row r="159" spans="2:12" ht="17.25" x14ac:dyDescent="0.25">
      <c r="C159" s="13" t="s">
        <v>44</v>
      </c>
      <c r="D159" s="22">
        <f>D157*D149</f>
        <v>34.144040091693391</v>
      </c>
      <c r="E159" s="15" t="s">
        <v>43</v>
      </c>
      <c r="F159" s="33" t="str">
        <f>ROUND(D159*1000/3600, 1)&amp;" L/sec"</f>
        <v>9.5 L/sec</v>
      </c>
      <c r="G159" s="9"/>
      <c r="J159" s="71" t="s">
        <v>223</v>
      </c>
    </row>
    <row r="160" spans="2:12" x14ac:dyDescent="0.25">
      <c r="F160" s="11"/>
    </row>
    <row r="161" spans="2:14" x14ac:dyDescent="0.25">
      <c r="B161" s="29" t="s">
        <v>118</v>
      </c>
      <c r="D161"/>
      <c r="F161" s="11"/>
    </row>
    <row r="162" spans="2:14" x14ac:dyDescent="0.25">
      <c r="C162" s="6" t="s">
        <v>49</v>
      </c>
      <c r="D162" s="40">
        <f>D158*1000/3600</f>
        <v>8.8598694817876495</v>
      </c>
      <c r="E162" s="8" t="s">
        <v>50</v>
      </c>
      <c r="F162" s="11"/>
      <c r="J162" s="71" t="s">
        <v>223</v>
      </c>
    </row>
    <row r="163" spans="2:14" x14ac:dyDescent="0.25">
      <c r="C163" s="9" t="s">
        <v>51</v>
      </c>
      <c r="D163" s="12">
        <v>900</v>
      </c>
      <c r="E163" s="30" t="s">
        <v>13</v>
      </c>
      <c r="F163" s="48" t="s">
        <v>82</v>
      </c>
      <c r="J163" s="71" t="s">
        <v>223</v>
      </c>
      <c r="M163" s="4" t="s">
        <v>100</v>
      </c>
    </row>
    <row r="164" spans="2:14" ht="17.25" x14ac:dyDescent="0.25">
      <c r="C164" s="9" t="str">
        <f>"Density at "&amp;D163&amp;"°C"</f>
        <v>Density at 900°C</v>
      </c>
      <c r="D164" s="24">
        <v>0.3009</v>
      </c>
      <c r="E164" s="30" t="s">
        <v>53</v>
      </c>
      <c r="F164" s="11"/>
      <c r="I164" s="35" t="s">
        <v>58</v>
      </c>
      <c r="J164" s="71" t="s">
        <v>223</v>
      </c>
      <c r="M164" s="4" t="s">
        <v>58</v>
      </c>
      <c r="N164" t="s">
        <v>59</v>
      </c>
    </row>
    <row r="165" spans="2:14" ht="17.25" x14ac:dyDescent="0.25">
      <c r="B165" s="28" t="s">
        <v>356</v>
      </c>
      <c r="C165" s="9" t="s">
        <v>74</v>
      </c>
      <c r="D165" s="10">
        <f>D159/D164</f>
        <v>113.47304782882483</v>
      </c>
      <c r="E165" s="11" t="s">
        <v>43</v>
      </c>
      <c r="F165" s="11"/>
      <c r="H165" t="s">
        <v>62</v>
      </c>
      <c r="I165" s="65">
        <v>900</v>
      </c>
      <c r="J165" s="5" t="s">
        <v>13</v>
      </c>
      <c r="M165" s="38">
        <v>1000</v>
      </c>
      <c r="N165" s="25">
        <v>0.27729999999999999</v>
      </c>
    </row>
    <row r="166" spans="2:14" x14ac:dyDescent="0.25">
      <c r="C166" s="9" t="s">
        <v>75</v>
      </c>
      <c r="D166" s="10">
        <f>D165/3.6</f>
        <v>31.520291063562453</v>
      </c>
      <c r="E166" s="11" t="s">
        <v>57</v>
      </c>
      <c r="F166" s="11"/>
      <c r="H166" t="s">
        <v>63</v>
      </c>
      <c r="I166" s="65">
        <v>350</v>
      </c>
      <c r="J166" s="5" t="s">
        <v>13</v>
      </c>
      <c r="M166" s="38">
        <v>900</v>
      </c>
      <c r="N166" s="25">
        <v>0.3009</v>
      </c>
    </row>
    <row r="167" spans="2:14" x14ac:dyDescent="0.25">
      <c r="C167" s="9" t="s">
        <v>340</v>
      </c>
      <c r="D167" s="19">
        <f>D166/(D77/1000*D80)</f>
        <v>1.3707636686394193</v>
      </c>
      <c r="E167" s="11" t="s">
        <v>52</v>
      </c>
      <c r="F167" s="11"/>
      <c r="H167" t="s">
        <v>64</v>
      </c>
      <c r="I167" s="35">
        <f>I165-I166</f>
        <v>550</v>
      </c>
      <c r="J167" s="5" t="s">
        <v>13</v>
      </c>
      <c r="M167" s="38">
        <v>800</v>
      </c>
      <c r="N167" s="25">
        <v>0.32890000000000003</v>
      </c>
    </row>
    <row r="168" spans="2:14" x14ac:dyDescent="0.25">
      <c r="C168" s="9" t="s">
        <v>99</v>
      </c>
      <c r="D168" s="10">
        <f>D96</f>
        <v>53.074005041514162</v>
      </c>
      <c r="E168" s="11" t="s">
        <v>1</v>
      </c>
      <c r="F168" s="11"/>
      <c r="H168" t="s">
        <v>102</v>
      </c>
      <c r="I168" s="66">
        <v>0.33500000000000002</v>
      </c>
      <c r="J168" s="5" t="s">
        <v>122</v>
      </c>
      <c r="M168" s="38">
        <v>700</v>
      </c>
      <c r="N168" s="25">
        <v>0.36259999999999998</v>
      </c>
    </row>
    <row r="169" spans="2:14" x14ac:dyDescent="0.25">
      <c r="C169" s="9" t="s">
        <v>341</v>
      </c>
      <c r="D169" s="20">
        <f>D165/3600/(D231/1000*(D96/1000))</f>
        <v>1.4939205752936768</v>
      </c>
      <c r="E169" s="15" t="str">
        <f>"m/sec (@ "&amp;D163&amp;" C)"</f>
        <v>m/sec (@ 900 C)</v>
      </c>
      <c r="F169" s="15"/>
      <c r="H169" t="s">
        <v>65</v>
      </c>
      <c r="I169" s="67">
        <f>I168*I167</f>
        <v>184.25</v>
      </c>
      <c r="J169" s="5" t="s">
        <v>13</v>
      </c>
      <c r="M169" s="34">
        <v>600</v>
      </c>
      <c r="N169" s="15">
        <v>0.40429999999999999</v>
      </c>
    </row>
    <row r="170" spans="2:14" x14ac:dyDescent="0.25">
      <c r="B170" s="28" t="s">
        <v>60</v>
      </c>
      <c r="C170" s="9" t="s">
        <v>98</v>
      </c>
      <c r="D170" s="12">
        <v>535</v>
      </c>
      <c r="E170" s="30" t="s">
        <v>13</v>
      </c>
      <c r="H170" t="s">
        <v>101</v>
      </c>
      <c r="I170" s="67">
        <f>I169+I166</f>
        <v>534.25</v>
      </c>
      <c r="J170" s="5" t="s">
        <v>13</v>
      </c>
      <c r="M170" s="38">
        <v>535</v>
      </c>
      <c r="N170" s="25">
        <f>N171-(M170-M171)/(M169-M171)*(N171-N169)</f>
        <v>0.43835999999999997</v>
      </c>
    </row>
    <row r="171" spans="2:14" x14ac:dyDescent="0.25">
      <c r="C171" s="9" t="s">
        <v>76</v>
      </c>
      <c r="D171" s="24">
        <v>0.43840000000000001</v>
      </c>
      <c r="E171" s="30" t="s">
        <v>61</v>
      </c>
      <c r="F171" s="8"/>
      <c r="H171" t="s">
        <v>66</v>
      </c>
      <c r="J171" s="71" t="s">
        <v>223</v>
      </c>
      <c r="M171" s="38">
        <v>500</v>
      </c>
      <c r="N171" s="25">
        <v>0.45669999999999999</v>
      </c>
    </row>
    <row r="172" spans="2:14" ht="17.25" x14ac:dyDescent="0.25">
      <c r="C172" s="9" t="s">
        <v>54</v>
      </c>
      <c r="D172" s="10">
        <f>D165*(D164/D171)</f>
        <v>77.883303128862664</v>
      </c>
      <c r="E172" s="11" t="s">
        <v>43</v>
      </c>
      <c r="F172" s="48" t="s">
        <v>83</v>
      </c>
      <c r="H172" t="s">
        <v>67</v>
      </c>
      <c r="J172" s="71" t="s">
        <v>223</v>
      </c>
      <c r="M172" s="38">
        <v>350</v>
      </c>
      <c r="N172" s="37">
        <v>0.56699999999999995</v>
      </c>
    </row>
    <row r="173" spans="2:14" x14ac:dyDescent="0.25">
      <c r="C173" s="9" t="s">
        <v>55</v>
      </c>
      <c r="D173" s="10">
        <f>D172/3600*1000</f>
        <v>21.634250869128515</v>
      </c>
      <c r="E173" s="11" t="s">
        <v>57</v>
      </c>
      <c r="F173" s="11"/>
      <c r="J173" s="71" t="s">
        <v>223</v>
      </c>
      <c r="M173" s="38">
        <v>225</v>
      </c>
      <c r="N173" s="37">
        <v>0.70799999999999996</v>
      </c>
    </row>
    <row r="174" spans="2:14" x14ac:dyDescent="0.25">
      <c r="C174" s="9" t="s">
        <v>357</v>
      </c>
      <c r="D174" s="10">
        <f>D93</f>
        <v>22.08451247401247</v>
      </c>
      <c r="E174" s="11" t="s">
        <v>1</v>
      </c>
      <c r="F174" s="11"/>
      <c r="J174" s="71" t="s">
        <v>223</v>
      </c>
    </row>
    <row r="175" spans="2:14" x14ac:dyDescent="0.25">
      <c r="C175" s="9" t="s">
        <v>68</v>
      </c>
      <c r="D175" s="19">
        <f>D172/(D118/1000*(D174/1000))/3600</f>
        <v>0.67202617944082599</v>
      </c>
      <c r="E175" s="11" t="s">
        <v>52</v>
      </c>
      <c r="F175" s="11"/>
      <c r="J175" s="71" t="s">
        <v>223</v>
      </c>
    </row>
    <row r="176" spans="2:14" x14ac:dyDescent="0.25">
      <c r="C176" s="9" t="s">
        <v>243</v>
      </c>
      <c r="D176" s="21">
        <f>D84</f>
        <v>40</v>
      </c>
      <c r="E176" s="11" t="s">
        <v>1</v>
      </c>
      <c r="F176" s="11"/>
      <c r="J176" s="71" t="s">
        <v>223</v>
      </c>
    </row>
    <row r="177" spans="2:11" x14ac:dyDescent="0.25">
      <c r="C177" s="13" t="s">
        <v>69</v>
      </c>
      <c r="D177" s="27">
        <f>(D172/3600)/((((D16+2*D176)/2)^2*PI()/1000000)-((D16/2)^2*PI()/1000000))</f>
        <v>0.34158709979285079</v>
      </c>
      <c r="E177" s="15" t="s">
        <v>52</v>
      </c>
      <c r="F177" s="58"/>
      <c r="J177" s="71" t="s">
        <v>223</v>
      </c>
    </row>
    <row r="179" spans="2:11" x14ac:dyDescent="0.25">
      <c r="B179" s="53" t="s">
        <v>127</v>
      </c>
    </row>
    <row r="180" spans="2:11" x14ac:dyDescent="0.25">
      <c r="B180" s="28" t="s">
        <v>342</v>
      </c>
      <c r="C180" s="6" t="s">
        <v>70</v>
      </c>
      <c r="D180" s="7">
        <v>350</v>
      </c>
      <c r="E180" s="44" t="s">
        <v>121</v>
      </c>
      <c r="F180" s="52" t="s">
        <v>84</v>
      </c>
      <c r="J180" s="71" t="s">
        <v>223</v>
      </c>
    </row>
    <row r="181" spans="2:11" x14ac:dyDescent="0.25">
      <c r="C181" s="9" t="s">
        <v>76</v>
      </c>
      <c r="D181" s="24">
        <v>0.56699999999999995</v>
      </c>
      <c r="E181" s="30" t="s">
        <v>61</v>
      </c>
      <c r="F181" s="11"/>
      <c r="J181" s="71" t="s">
        <v>223</v>
      </c>
      <c r="K181" t="s">
        <v>289</v>
      </c>
    </row>
    <row r="182" spans="2:11" x14ac:dyDescent="0.25">
      <c r="C182" s="9" t="s">
        <v>72</v>
      </c>
      <c r="D182" s="39">
        <f>D164/D181*D166</f>
        <v>16.727434887170975</v>
      </c>
      <c r="E182" s="30" t="s">
        <v>56</v>
      </c>
      <c r="F182" s="11"/>
      <c r="J182" s="71" t="s">
        <v>223</v>
      </c>
    </row>
    <row r="183" spans="2:11" x14ac:dyDescent="0.25">
      <c r="C183" s="9" t="s">
        <v>244</v>
      </c>
      <c r="D183" s="10">
        <f>D101</f>
        <v>102</v>
      </c>
      <c r="E183" s="30" t="s">
        <v>1</v>
      </c>
      <c r="F183" s="11"/>
      <c r="J183" s="71" t="s">
        <v>223</v>
      </c>
    </row>
    <row r="184" spans="2:11" x14ac:dyDescent="0.25">
      <c r="C184" s="9" t="s">
        <v>245</v>
      </c>
      <c r="D184" s="10">
        <f>1.84*D183</f>
        <v>187.68</v>
      </c>
      <c r="E184" s="30" t="s">
        <v>1</v>
      </c>
      <c r="F184" s="11"/>
      <c r="J184" s="71" t="s">
        <v>223</v>
      </c>
    </row>
    <row r="185" spans="2:11" x14ac:dyDescent="0.25">
      <c r="C185" s="9" t="s">
        <v>343</v>
      </c>
      <c r="D185" s="19">
        <f>(D182/1000)/((D183/1000*25/1000)*2+(D184/1000*25/1000)*2)</f>
        <v>1.1548905611137099</v>
      </c>
      <c r="E185" s="11" t="s">
        <v>52</v>
      </c>
      <c r="F185" s="11"/>
      <c r="J185" s="71" t="s">
        <v>223</v>
      </c>
    </row>
    <row r="186" spans="2:11" x14ac:dyDescent="0.25">
      <c r="C186" s="13" t="str">
        <f>"Gas velocity in chimney @ "&amp;D180&amp;"°"</f>
        <v>Gas velocity in chimney @ 350°</v>
      </c>
      <c r="D186" s="20">
        <f>D182/(((D101/100)/2)^2*PI())/10</f>
        <v>2.0471003056832613</v>
      </c>
      <c r="E186" s="15" t="str">
        <f>"m/sec at "&amp;ROUND(D137/1000,1)&amp;" kW"</f>
        <v>m/sec at 18.1 kW</v>
      </c>
      <c r="F186" s="15"/>
      <c r="J186" s="71" t="s">
        <v>223</v>
      </c>
    </row>
    <row r="187" spans="2:11" x14ac:dyDescent="0.25">
      <c r="D187" s="2"/>
      <c r="J187" s="71" t="s">
        <v>223</v>
      </c>
      <c r="K187" s="4" t="s">
        <v>73</v>
      </c>
    </row>
    <row r="188" spans="2:11" x14ac:dyDescent="0.25">
      <c r="B188" s="29" t="s">
        <v>195</v>
      </c>
    </row>
    <row r="189" spans="2:11" x14ac:dyDescent="0.25">
      <c r="B189" s="29" t="s">
        <v>290</v>
      </c>
      <c r="C189" s="6" t="s">
        <v>281</v>
      </c>
      <c r="D189" s="16">
        <f>D42+D48</f>
        <v>91.199999999999989</v>
      </c>
      <c r="E189" s="8" t="s">
        <v>1</v>
      </c>
      <c r="I189" s="35" t="s">
        <v>180</v>
      </c>
    </row>
    <row r="190" spans="2:11" x14ac:dyDescent="0.25">
      <c r="B190" s="29"/>
      <c r="C190" s="9" t="s">
        <v>292</v>
      </c>
      <c r="D190" s="10">
        <f>D53</f>
        <v>972.5</v>
      </c>
      <c r="E190" s="11" t="s">
        <v>1</v>
      </c>
      <c r="I190" s="35" t="str">
        <f>I53</f>
        <v>L1</v>
      </c>
    </row>
    <row r="191" spans="2:11" x14ac:dyDescent="0.25">
      <c r="B191" s="29"/>
      <c r="C191" s="9" t="s">
        <v>291</v>
      </c>
      <c r="D191" s="10">
        <f>D52</f>
        <v>972.5</v>
      </c>
      <c r="E191" s="11" t="s">
        <v>1</v>
      </c>
      <c r="I191" s="35" t="str">
        <f>I52</f>
        <v>W3</v>
      </c>
    </row>
    <row r="192" spans="2:11" x14ac:dyDescent="0.25">
      <c r="B192" s="29"/>
      <c r="C192" s="9" t="s">
        <v>293</v>
      </c>
      <c r="D192" s="10">
        <f>D58</f>
        <v>151.64001440432619</v>
      </c>
      <c r="E192" s="11" t="s">
        <v>1</v>
      </c>
      <c r="I192" s="79" t="str">
        <f>I58</f>
        <v>W12</v>
      </c>
    </row>
    <row r="193" spans="2:10" x14ac:dyDescent="0.25">
      <c r="C193" s="9" t="s">
        <v>279</v>
      </c>
      <c r="D193" s="10">
        <f>D190-D194</f>
        <v>410.42999279783692</v>
      </c>
      <c r="E193" s="11" t="s">
        <v>1</v>
      </c>
      <c r="I193" s="35" t="s">
        <v>189</v>
      </c>
    </row>
    <row r="194" spans="2:10" x14ac:dyDescent="0.25">
      <c r="C194" s="9" t="s">
        <v>186</v>
      </c>
      <c r="D194" s="10">
        <f>D53/2+D58/2</f>
        <v>562.07000720216308</v>
      </c>
      <c r="E194" s="11" t="s">
        <v>1</v>
      </c>
      <c r="I194" s="35" t="s">
        <v>190</v>
      </c>
    </row>
    <row r="195" spans="2:10" x14ac:dyDescent="0.25">
      <c r="C195" s="9" t="s">
        <v>187</v>
      </c>
      <c r="D195" s="10">
        <f>D53/2+D58/2+15-D109-D110</f>
        <v>191.07000720216308</v>
      </c>
      <c r="E195" s="11" t="s">
        <v>1</v>
      </c>
      <c r="I195" s="35" t="s">
        <v>191</v>
      </c>
      <c r="J195" t="s">
        <v>280</v>
      </c>
    </row>
    <row r="196" spans="2:10" x14ac:dyDescent="0.25">
      <c r="C196" s="9" t="s">
        <v>188</v>
      </c>
      <c r="D196" s="10">
        <f>D194-D195</f>
        <v>371</v>
      </c>
      <c r="E196" s="11" t="s">
        <v>1</v>
      </c>
      <c r="I196" s="35" t="s">
        <v>192</v>
      </c>
      <c r="J196" t="s">
        <v>280</v>
      </c>
    </row>
    <row r="197" spans="2:10" x14ac:dyDescent="0.25">
      <c r="C197" s="13" t="s">
        <v>193</v>
      </c>
      <c r="D197" s="14">
        <f>(D190-D58)/2</f>
        <v>410.42999279783692</v>
      </c>
      <c r="E197" s="15" t="s">
        <v>1</v>
      </c>
      <c r="I197" s="35" t="s">
        <v>194</v>
      </c>
    </row>
    <row r="199" spans="2:10" x14ac:dyDescent="0.25">
      <c r="B199" s="29" t="s">
        <v>199</v>
      </c>
    </row>
    <row r="200" spans="2:10" x14ac:dyDescent="0.25">
      <c r="B200" s="29" t="s">
        <v>290</v>
      </c>
      <c r="C200" s="6" t="s">
        <v>284</v>
      </c>
      <c r="D200" s="16">
        <f>D189+D39+D48-5</f>
        <v>177.2</v>
      </c>
      <c r="E200" s="8" t="s">
        <v>1</v>
      </c>
      <c r="I200" s="35" t="s">
        <v>176</v>
      </c>
    </row>
    <row r="201" spans="2:10" x14ac:dyDescent="0.25">
      <c r="C201" s="9" t="s">
        <v>295</v>
      </c>
      <c r="D201" s="10">
        <f>D200</f>
        <v>177.2</v>
      </c>
      <c r="E201" s="11" t="s">
        <v>1</v>
      </c>
      <c r="I201" s="35" t="s">
        <v>145</v>
      </c>
    </row>
    <row r="202" spans="2:10" x14ac:dyDescent="0.25">
      <c r="C202" s="9" t="s">
        <v>296</v>
      </c>
      <c r="D202" s="10">
        <f>D65*D37+(D65-1)*D60</f>
        <v>622</v>
      </c>
      <c r="E202" s="11" t="s">
        <v>1</v>
      </c>
      <c r="I202" s="73" t="s">
        <v>196</v>
      </c>
      <c r="J202" t="s">
        <v>280</v>
      </c>
    </row>
    <row r="203" spans="2:10" x14ac:dyDescent="0.25">
      <c r="C203" s="9" t="s">
        <v>294</v>
      </c>
      <c r="D203" s="10">
        <f>D204+2*D41</f>
        <v>555.9</v>
      </c>
      <c r="E203" s="11" t="s">
        <v>1</v>
      </c>
      <c r="I203" s="73" t="s">
        <v>197</v>
      </c>
    </row>
    <row r="204" spans="2:10" x14ac:dyDescent="0.25">
      <c r="C204" s="13" t="s">
        <v>299</v>
      </c>
      <c r="D204" s="14">
        <f>D40+2*D48</f>
        <v>340</v>
      </c>
      <c r="E204" s="15" t="s">
        <v>1</v>
      </c>
      <c r="I204" s="73" t="s">
        <v>198</v>
      </c>
      <c r="J204" t="s">
        <v>280</v>
      </c>
    </row>
    <row r="206" spans="2:10" x14ac:dyDescent="0.25">
      <c r="B206" s="29" t="s">
        <v>200</v>
      </c>
    </row>
    <row r="207" spans="2:10" x14ac:dyDescent="0.25">
      <c r="B207" s="29" t="s">
        <v>290</v>
      </c>
      <c r="C207" s="6" t="s">
        <v>285</v>
      </c>
      <c r="D207" s="16">
        <f>D189+D200-3</f>
        <v>265.39999999999998</v>
      </c>
      <c r="E207" s="8" t="s">
        <v>1</v>
      </c>
      <c r="I207" s="35" t="s">
        <v>164</v>
      </c>
    </row>
    <row r="208" spans="2:10" x14ac:dyDescent="0.25">
      <c r="C208" s="9" t="s">
        <v>300</v>
      </c>
      <c r="D208" s="10">
        <f>D192+160</f>
        <v>311.64001440432617</v>
      </c>
      <c r="E208" s="11" t="s">
        <v>1</v>
      </c>
      <c r="I208" s="73" t="s">
        <v>201</v>
      </c>
      <c r="J208" t="s">
        <v>303</v>
      </c>
    </row>
    <row r="209" spans="2:9" x14ac:dyDescent="0.25">
      <c r="C209" s="9" t="s">
        <v>301</v>
      </c>
      <c r="D209" s="10">
        <f>D31+D48</f>
        <v>122.94999999999999</v>
      </c>
      <c r="E209" s="11" t="s">
        <v>1</v>
      </c>
      <c r="I209" s="73" t="s">
        <v>202</v>
      </c>
    </row>
    <row r="210" spans="2:9" x14ac:dyDescent="0.25">
      <c r="C210" s="9" t="s">
        <v>306</v>
      </c>
      <c r="D210" s="10">
        <f>D77</f>
        <v>151.64001440432619</v>
      </c>
      <c r="E210" s="11" t="s">
        <v>1</v>
      </c>
      <c r="I210" s="35" t="str">
        <f>I77</f>
        <v>W10</v>
      </c>
    </row>
    <row r="211" spans="2:9" x14ac:dyDescent="0.25">
      <c r="C211" s="13" t="s">
        <v>302</v>
      </c>
      <c r="D211" s="14">
        <f>D194</f>
        <v>562.07000720216308</v>
      </c>
      <c r="E211" s="15" t="s">
        <v>1</v>
      </c>
      <c r="I211" s="73" t="s">
        <v>203</v>
      </c>
    </row>
    <row r="213" spans="2:9" x14ac:dyDescent="0.25">
      <c r="B213" s="29" t="s">
        <v>204</v>
      </c>
    </row>
    <row r="214" spans="2:9" x14ac:dyDescent="0.25">
      <c r="B214" s="29" t="s">
        <v>290</v>
      </c>
      <c r="C214" s="6" t="s">
        <v>304</v>
      </c>
      <c r="D214" s="16">
        <f>D207+D189-1</f>
        <v>355.59999999999997</v>
      </c>
      <c r="E214" s="8" t="s">
        <v>1</v>
      </c>
      <c r="I214" s="35" t="s">
        <v>159</v>
      </c>
    </row>
    <row r="215" spans="2:9" x14ac:dyDescent="0.25">
      <c r="C215" s="9" t="s">
        <v>308</v>
      </c>
      <c r="D215" s="10">
        <f>D214-D200</f>
        <v>178.39999999999998</v>
      </c>
      <c r="E215" s="11" t="s">
        <v>1</v>
      </c>
    </row>
    <row r="216" spans="2:9" x14ac:dyDescent="0.25">
      <c r="C216" s="13" t="s">
        <v>300</v>
      </c>
      <c r="D216" s="14">
        <f>D208</f>
        <v>311.64001440432617</v>
      </c>
      <c r="E216" s="15" t="s">
        <v>1</v>
      </c>
      <c r="I216" s="73" t="s">
        <v>142</v>
      </c>
    </row>
    <row r="218" spans="2:9" x14ac:dyDescent="0.25">
      <c r="B218" s="29" t="s">
        <v>205</v>
      </c>
    </row>
    <row r="219" spans="2:9" x14ac:dyDescent="0.25">
      <c r="B219" s="29" t="s">
        <v>290</v>
      </c>
      <c r="C219" s="6" t="s">
        <v>307</v>
      </c>
      <c r="D219" s="16">
        <f>D214+D189</f>
        <v>446.79999999999995</v>
      </c>
      <c r="E219" s="8" t="s">
        <v>1</v>
      </c>
      <c r="I219" s="73" t="s">
        <v>142</v>
      </c>
    </row>
    <row r="220" spans="2:9" x14ac:dyDescent="0.25">
      <c r="B220" s="29"/>
      <c r="C220" s="9" t="s">
        <v>300</v>
      </c>
      <c r="D220" s="10">
        <f>D216-148</f>
        <v>163.64001440432617</v>
      </c>
      <c r="E220" s="11" t="s">
        <v>1</v>
      </c>
      <c r="I220" s="73" t="s">
        <v>142</v>
      </c>
    </row>
    <row r="221" spans="2:9" x14ac:dyDescent="0.25">
      <c r="B221" s="29"/>
      <c r="C221" s="9" t="str">
        <f>C204</f>
        <v>Width to accommodate U-channels</v>
      </c>
      <c r="D221" s="39">
        <f>D204</f>
        <v>340</v>
      </c>
      <c r="E221" s="11" t="s">
        <v>1</v>
      </c>
      <c r="I221" s="73" t="s">
        <v>142</v>
      </c>
    </row>
    <row r="222" spans="2:9" x14ac:dyDescent="0.25">
      <c r="B222" s="29"/>
      <c r="C222" s="9" t="s">
        <v>310</v>
      </c>
      <c r="D222" s="39">
        <f>D67</f>
        <v>410.42999279783692</v>
      </c>
      <c r="E222" s="11" t="s">
        <v>1</v>
      </c>
    </row>
    <row r="223" spans="2:9" x14ac:dyDescent="0.25">
      <c r="B223" s="29"/>
      <c r="C223" s="9" t="s">
        <v>319</v>
      </c>
      <c r="D223" s="39">
        <f>D215+3</f>
        <v>181.39999999999998</v>
      </c>
      <c r="E223" s="11" t="s">
        <v>1</v>
      </c>
    </row>
    <row r="224" spans="2:9" x14ac:dyDescent="0.25">
      <c r="B224" s="29"/>
      <c r="C224" s="9" t="s">
        <v>253</v>
      </c>
      <c r="D224" s="39">
        <f>D211-D222</f>
        <v>151.64001440432617</v>
      </c>
      <c r="E224" s="11" t="s">
        <v>1</v>
      </c>
    </row>
    <row r="225" spans="2:5" x14ac:dyDescent="0.25">
      <c r="B225" s="29"/>
      <c r="C225" s="13" t="s">
        <v>318</v>
      </c>
      <c r="D225" s="41">
        <f>D210</f>
        <v>151.64001440432619</v>
      </c>
      <c r="E225" s="15" t="s">
        <v>1</v>
      </c>
    </row>
    <row r="226" spans="2:5" x14ac:dyDescent="0.25">
      <c r="B226" s="29"/>
      <c r="D226" s="63"/>
    </row>
    <row r="227" spans="2:5" x14ac:dyDescent="0.25">
      <c r="B227" s="29" t="s">
        <v>305</v>
      </c>
    </row>
    <row r="228" spans="2:5" x14ac:dyDescent="0.25">
      <c r="B228" s="29" t="s">
        <v>290</v>
      </c>
      <c r="C228" s="6" t="s">
        <v>320</v>
      </c>
      <c r="D228" s="16">
        <f>D219+D189</f>
        <v>538</v>
      </c>
      <c r="E228" s="8" t="s">
        <v>1</v>
      </c>
    </row>
    <row r="229" spans="2:5" x14ac:dyDescent="0.25">
      <c r="C229" s="9" t="s">
        <v>321</v>
      </c>
      <c r="D229" s="10">
        <f>D228-D42+D41</f>
        <v>569.75</v>
      </c>
      <c r="E229" s="11" t="s">
        <v>1</v>
      </c>
    </row>
    <row r="230" spans="2:5" x14ac:dyDescent="0.25">
      <c r="C230" s="9" t="s">
        <v>344</v>
      </c>
      <c r="D230" s="39"/>
      <c r="E230" s="11"/>
    </row>
    <row r="231" spans="2:5" x14ac:dyDescent="0.25">
      <c r="C231" s="9" t="s">
        <v>332</v>
      </c>
      <c r="D231" s="39">
        <f>D232+2*D41+2*D48</f>
        <v>397.54001440432614</v>
      </c>
      <c r="E231" s="11" t="s">
        <v>1</v>
      </c>
    </row>
    <row r="232" spans="2:5" x14ac:dyDescent="0.25">
      <c r="C232" s="9" t="s">
        <v>253</v>
      </c>
      <c r="D232" s="39">
        <f>D224</f>
        <v>151.64001440432617</v>
      </c>
      <c r="E232" s="11" t="s">
        <v>1</v>
      </c>
    </row>
    <row r="233" spans="2:5" x14ac:dyDescent="0.25">
      <c r="C233" s="9" t="s">
        <v>322</v>
      </c>
      <c r="D233" s="39">
        <f>D228-D200</f>
        <v>360.8</v>
      </c>
      <c r="E233" s="11" t="s">
        <v>1</v>
      </c>
    </row>
    <row r="234" spans="2:5" x14ac:dyDescent="0.25">
      <c r="C234" s="13" t="s">
        <v>323</v>
      </c>
      <c r="D234" s="41">
        <f>D233-D223+D41-D42</f>
        <v>211.15000000000003</v>
      </c>
      <c r="E234" s="15" t="s">
        <v>1</v>
      </c>
    </row>
    <row r="236" spans="2:5" x14ac:dyDescent="0.25">
      <c r="B236" s="29" t="s">
        <v>324</v>
      </c>
    </row>
    <row r="237" spans="2:5" x14ac:dyDescent="0.25">
      <c r="B237" s="29" t="s">
        <v>290</v>
      </c>
      <c r="C237" s="6" t="s">
        <v>325</v>
      </c>
      <c r="D237" s="16">
        <f>D228+D189</f>
        <v>629.20000000000005</v>
      </c>
      <c r="E237" s="8" t="s">
        <v>1</v>
      </c>
    </row>
    <row r="238" spans="2:5" x14ac:dyDescent="0.25">
      <c r="C238" s="9" t="s">
        <v>326</v>
      </c>
      <c r="D238" s="10">
        <f>D237</f>
        <v>629.20000000000005</v>
      </c>
      <c r="E238" s="11" t="s">
        <v>1</v>
      </c>
    </row>
    <row r="239" spans="2:5" x14ac:dyDescent="0.25">
      <c r="C239" s="9" t="s">
        <v>327</v>
      </c>
      <c r="D239" s="39">
        <f>D14+2*D84</f>
        <v>544</v>
      </c>
      <c r="E239" s="11" t="s">
        <v>1</v>
      </c>
    </row>
    <row r="240" spans="2:5" x14ac:dyDescent="0.25">
      <c r="C240" s="9" t="s">
        <v>328</v>
      </c>
      <c r="D240" s="39">
        <f>(D34*1.08)*2+D239</f>
        <v>741.20799999999997</v>
      </c>
      <c r="E240" s="11" t="s">
        <v>1</v>
      </c>
    </row>
    <row r="241" spans="2:5" x14ac:dyDescent="0.25">
      <c r="C241" s="13" t="s">
        <v>331</v>
      </c>
      <c r="D241" s="41">
        <f>D87-(2*D31)</f>
        <v>756.6</v>
      </c>
      <c r="E241" s="15" t="s">
        <v>1</v>
      </c>
    </row>
    <row r="243" spans="2:5" x14ac:dyDescent="0.25">
      <c r="B243" s="29" t="s">
        <v>380</v>
      </c>
    </row>
    <row r="244" spans="2:5" x14ac:dyDescent="0.25">
      <c r="B244" s="29" t="s">
        <v>290</v>
      </c>
      <c r="C244" s="6" t="s">
        <v>334</v>
      </c>
      <c r="D244" s="16">
        <f>D237+3*(D189)</f>
        <v>902.8</v>
      </c>
      <c r="E244" s="8" t="s">
        <v>1</v>
      </c>
    </row>
    <row r="245" spans="2:5" x14ac:dyDescent="0.25">
      <c r="C245" s="9" t="s">
        <v>345</v>
      </c>
      <c r="D245" s="10">
        <f>D244+D47</f>
        <v>905.8</v>
      </c>
      <c r="E245" s="11" t="s">
        <v>1</v>
      </c>
    </row>
    <row r="246" spans="2:5" x14ac:dyDescent="0.25">
      <c r="C246" s="9" t="s">
        <v>346</v>
      </c>
      <c r="D246" s="10">
        <f>D247+D24-4</f>
        <v>939.8</v>
      </c>
      <c r="E246" s="11" t="s">
        <v>1</v>
      </c>
    </row>
    <row r="247" spans="2:5" x14ac:dyDescent="0.25">
      <c r="C247" s="13" t="s">
        <v>347</v>
      </c>
      <c r="D247" s="14">
        <f>D237+3*(D189-3)</f>
        <v>893.8</v>
      </c>
      <c r="E247" s="15" t="s">
        <v>1</v>
      </c>
    </row>
  </sheetData>
  <conditionalFormatting sqref="L64">
    <cfRule type="cellIs" dxfId="7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B403F-1B17-4058-B856-0D353121CC31}">
  <dimension ref="A1:O247"/>
  <sheetViews>
    <sheetView topLeftCell="A215" zoomScale="130" zoomScaleNormal="130" workbookViewId="0">
      <selection activeCell="D228" sqref="D228"/>
    </sheetView>
  </sheetViews>
  <sheetFormatPr defaultRowHeight="15" x14ac:dyDescent="0.25"/>
  <cols>
    <col min="1" max="1" width="6" customWidth="1"/>
    <col min="2" max="2" width="30" customWidth="1"/>
    <col min="3" max="3" width="35.42578125" customWidth="1"/>
    <col min="4" max="4" width="19.42578125" style="4" bestFit="1" customWidth="1"/>
    <col min="5" max="5" width="17" customWidth="1"/>
    <col min="6" max="6" width="11" hidden="1" customWidth="1"/>
    <col min="7" max="7" width="9.140625" hidden="1" customWidth="1"/>
    <col min="8" max="8" width="56.28515625" hidden="1" customWidth="1"/>
    <col min="9" max="9" width="8" style="35" customWidth="1"/>
    <col min="10" max="10" width="9.140625" customWidth="1"/>
    <col min="11" max="12" width="7.5703125" customWidth="1"/>
    <col min="13" max="13" width="29.28515625" style="4" customWidth="1"/>
  </cols>
  <sheetData>
    <row r="1" spans="1:11" x14ac:dyDescent="0.25">
      <c r="A1" t="s">
        <v>104</v>
      </c>
      <c r="C1" t="s">
        <v>104</v>
      </c>
    </row>
    <row r="2" spans="1:11" ht="18.75" x14ac:dyDescent="0.3">
      <c r="B2" s="1" t="str">
        <f>ROUNDDOWN(D10/50,0)*50&amp;" Litre MEMD Stove"</f>
        <v>100 Litre MEMD Stove</v>
      </c>
      <c r="C2" s="64" t="s">
        <v>217</v>
      </c>
      <c r="D2" s="35"/>
    </row>
    <row r="3" spans="1:11" ht="18.75" x14ac:dyDescent="0.3">
      <c r="B3" s="1"/>
      <c r="D3" s="35"/>
    </row>
    <row r="4" spans="1:11" x14ac:dyDescent="0.25">
      <c r="C4" t="s">
        <v>0</v>
      </c>
      <c r="D4" s="36">
        <v>45621</v>
      </c>
      <c r="E4" t="str">
        <f>Dimensions!F2</f>
        <v>Version 1.4</v>
      </c>
    </row>
    <row r="5" spans="1:11" x14ac:dyDescent="0.25">
      <c r="B5" s="69" t="s">
        <v>219</v>
      </c>
    </row>
    <row r="7" spans="1:11" x14ac:dyDescent="0.25">
      <c r="B7" s="29" t="s">
        <v>212</v>
      </c>
      <c r="D7"/>
      <c r="I7" s="35" t="s">
        <v>218</v>
      </c>
    </row>
    <row r="8" spans="1:11" x14ac:dyDescent="0.25">
      <c r="C8" s="6" t="s">
        <v>108</v>
      </c>
      <c r="D8" s="7">
        <v>580</v>
      </c>
      <c r="E8" s="8" t="s">
        <v>1</v>
      </c>
      <c r="I8" s="35" t="s">
        <v>131</v>
      </c>
      <c r="J8" s="71" t="s">
        <v>223</v>
      </c>
    </row>
    <row r="9" spans="1:11" x14ac:dyDescent="0.25">
      <c r="C9" s="9" t="s">
        <v>348</v>
      </c>
      <c r="D9" s="57">
        <f>D8*0.7</f>
        <v>406</v>
      </c>
      <c r="E9" s="11" t="s">
        <v>1</v>
      </c>
      <c r="I9" s="35" t="s">
        <v>132</v>
      </c>
      <c r="J9" s="71" t="s">
        <v>223</v>
      </c>
      <c r="K9" t="s">
        <v>359</v>
      </c>
    </row>
    <row r="10" spans="1:11" x14ac:dyDescent="0.25">
      <c r="C10" s="9" t="s">
        <v>89</v>
      </c>
      <c r="D10" s="10">
        <f>(D8/200)^2*PI()*D9/100</f>
        <v>107.26842451976205</v>
      </c>
      <c r="E10" s="11" t="s">
        <v>3</v>
      </c>
      <c r="I10" s="35" t="s">
        <v>170</v>
      </c>
      <c r="J10" s="71" t="s">
        <v>223</v>
      </c>
      <c r="K10" s="81">
        <f>D10/100-1</f>
        <v>7.2684245197620401E-2</v>
      </c>
    </row>
    <row r="11" spans="1:11" x14ac:dyDescent="0.25">
      <c r="C11" s="9" t="s">
        <v>105</v>
      </c>
      <c r="D11" s="18">
        <v>2</v>
      </c>
      <c r="E11" s="11" t="s">
        <v>1</v>
      </c>
      <c r="I11" s="35" t="s">
        <v>134</v>
      </c>
      <c r="J11" s="71" t="s">
        <v>223</v>
      </c>
    </row>
    <row r="12" spans="1:11" x14ac:dyDescent="0.25">
      <c r="C12" s="9" t="s">
        <v>106</v>
      </c>
      <c r="D12" s="18">
        <v>3</v>
      </c>
      <c r="E12" s="11" t="s">
        <v>1</v>
      </c>
      <c r="I12" s="35" t="s">
        <v>135</v>
      </c>
      <c r="J12" s="71" t="s">
        <v>223</v>
      </c>
    </row>
    <row r="13" spans="1:11" x14ac:dyDescent="0.25">
      <c r="C13" s="9" t="s">
        <v>224</v>
      </c>
      <c r="D13" s="18">
        <v>40</v>
      </c>
      <c r="E13" s="11" t="s">
        <v>1</v>
      </c>
      <c r="I13" s="35" t="s">
        <v>136</v>
      </c>
      <c r="J13" s="71" t="s">
        <v>223</v>
      </c>
    </row>
    <row r="14" spans="1:11" x14ac:dyDescent="0.25">
      <c r="C14" s="9" t="s">
        <v>107</v>
      </c>
      <c r="D14" s="10">
        <f>D8+2*D11</f>
        <v>584</v>
      </c>
      <c r="E14" s="11" t="s">
        <v>1</v>
      </c>
      <c r="J14" s="71"/>
    </row>
    <row r="15" spans="1:11" x14ac:dyDescent="0.25">
      <c r="C15" s="9" t="s">
        <v>386</v>
      </c>
      <c r="D15" s="10">
        <f>(D9+D12)*0.25</f>
        <v>102.25</v>
      </c>
      <c r="E15" s="11" t="s">
        <v>1</v>
      </c>
      <c r="I15" s="35" t="s">
        <v>151</v>
      </c>
      <c r="J15" s="71" t="s">
        <v>223</v>
      </c>
      <c r="K15" t="s">
        <v>236</v>
      </c>
    </row>
    <row r="16" spans="1:11" x14ac:dyDescent="0.25">
      <c r="C16" s="9" t="s">
        <v>234</v>
      </c>
      <c r="D16" s="10">
        <f>D8+2*D11</f>
        <v>584</v>
      </c>
      <c r="E16" s="11" t="s">
        <v>1</v>
      </c>
      <c r="I16" s="35" t="s">
        <v>133</v>
      </c>
      <c r="J16" s="71" t="s">
        <v>223</v>
      </c>
    </row>
    <row r="17" spans="2:10" x14ac:dyDescent="0.25">
      <c r="C17" s="9" t="s">
        <v>222</v>
      </c>
      <c r="D17" s="10">
        <f>D13*2+D16</f>
        <v>664</v>
      </c>
      <c r="E17" s="11" t="s">
        <v>1</v>
      </c>
      <c r="I17" s="35" t="s">
        <v>148</v>
      </c>
      <c r="J17" s="71" t="s">
        <v>223</v>
      </c>
    </row>
    <row r="18" spans="2:10" x14ac:dyDescent="0.25">
      <c r="C18" s="9" t="s">
        <v>183</v>
      </c>
      <c r="D18" s="10">
        <f>D9+D12</f>
        <v>409</v>
      </c>
      <c r="E18" s="11" t="s">
        <v>1</v>
      </c>
      <c r="I18" s="35" t="s">
        <v>184</v>
      </c>
      <c r="J18" s="71" t="s">
        <v>223</v>
      </c>
    </row>
    <row r="19" spans="2:10" x14ac:dyDescent="0.25">
      <c r="C19" s="60"/>
      <c r="D19" s="16"/>
      <c r="E19" s="60"/>
    </row>
    <row r="20" spans="2:10" x14ac:dyDescent="0.25">
      <c r="B20" s="29" t="s">
        <v>231</v>
      </c>
      <c r="D20" s="10"/>
    </row>
    <row r="21" spans="2:10" x14ac:dyDescent="0.25">
      <c r="C21" s="6" t="s">
        <v>230</v>
      </c>
      <c r="D21" s="40">
        <f>D16+2*D25</f>
        <v>594.44000000000005</v>
      </c>
      <c r="E21" s="8" t="s">
        <v>1</v>
      </c>
      <c r="I21" s="35" t="s">
        <v>147</v>
      </c>
      <c r="J21" s="71" t="s">
        <v>223</v>
      </c>
    </row>
    <row r="22" spans="2:10" x14ac:dyDescent="0.25">
      <c r="C22" s="9" t="s">
        <v>225</v>
      </c>
      <c r="D22" s="12">
        <v>5</v>
      </c>
      <c r="E22" s="11" t="s">
        <v>1</v>
      </c>
      <c r="I22" s="35" t="s">
        <v>139</v>
      </c>
      <c r="J22" s="71" t="s">
        <v>223</v>
      </c>
    </row>
    <row r="23" spans="2:10" x14ac:dyDescent="0.25">
      <c r="C23" s="9" t="s">
        <v>226</v>
      </c>
      <c r="D23" s="63">
        <f>D21+2*D22</f>
        <v>604.44000000000005</v>
      </c>
      <c r="E23" s="11" t="s">
        <v>1</v>
      </c>
      <c r="I23" s="35" t="s">
        <v>211</v>
      </c>
      <c r="J23" s="71" t="s">
        <v>223</v>
      </c>
    </row>
    <row r="24" spans="2:10" x14ac:dyDescent="0.25">
      <c r="C24" s="9" t="s">
        <v>227</v>
      </c>
      <c r="D24" s="12">
        <v>50</v>
      </c>
      <c r="E24" s="11" t="s">
        <v>1</v>
      </c>
      <c r="I24" s="35" t="s">
        <v>152</v>
      </c>
      <c r="J24" s="71" t="s">
        <v>223</v>
      </c>
    </row>
    <row r="25" spans="2:10" x14ac:dyDescent="0.25">
      <c r="C25" s="9" t="s">
        <v>228</v>
      </c>
      <c r="D25" s="74">
        <f>D8*0.009</f>
        <v>5.22</v>
      </c>
      <c r="E25" s="11" t="s">
        <v>1</v>
      </c>
      <c r="I25" s="35" t="s">
        <v>137</v>
      </c>
      <c r="J25" s="71" t="s">
        <v>223</v>
      </c>
    </row>
    <row r="26" spans="2:10" x14ac:dyDescent="0.25">
      <c r="C26" s="9" t="s">
        <v>232</v>
      </c>
      <c r="D26" s="74">
        <f>(D21+2*D22/3)*PI()</f>
        <v>1877.9603125118829</v>
      </c>
      <c r="E26" s="11" t="s">
        <v>1</v>
      </c>
      <c r="J26" s="71" t="s">
        <v>223</v>
      </c>
    </row>
    <row r="27" spans="2:10" x14ac:dyDescent="0.25">
      <c r="C27" s="9" t="s">
        <v>350</v>
      </c>
      <c r="D27" s="74">
        <f>D23*0.3</f>
        <v>181.33200000000002</v>
      </c>
      <c r="E27" s="11" t="s">
        <v>1</v>
      </c>
      <c r="J27" s="71"/>
    </row>
    <row r="28" spans="2:10" x14ac:dyDescent="0.25">
      <c r="C28" s="13" t="s">
        <v>335</v>
      </c>
      <c r="D28" s="77">
        <v>6</v>
      </c>
      <c r="E28" s="15" t="s">
        <v>1</v>
      </c>
      <c r="J28" s="71"/>
    </row>
    <row r="29" spans="2:10" x14ac:dyDescent="0.25">
      <c r="D29" s="21"/>
    </row>
    <row r="30" spans="2:10" x14ac:dyDescent="0.25">
      <c r="B30" s="29" t="s">
        <v>258</v>
      </c>
      <c r="D30"/>
    </row>
    <row r="31" spans="2:10" x14ac:dyDescent="0.25">
      <c r="B31" s="29"/>
      <c r="C31" s="6" t="s">
        <v>257</v>
      </c>
      <c r="D31" s="7">
        <f>25.4*4.25</f>
        <v>107.94999999999999</v>
      </c>
      <c r="E31" s="8" t="s">
        <v>1</v>
      </c>
      <c r="I31" s="35" t="s">
        <v>214</v>
      </c>
      <c r="J31" s="71" t="s">
        <v>223</v>
      </c>
    </row>
    <row r="32" spans="2:10" x14ac:dyDescent="0.25">
      <c r="B32" s="29"/>
      <c r="C32" s="9" t="s">
        <v>329</v>
      </c>
      <c r="D32" s="12">
        <f>25.4*3</f>
        <v>76.199999999999989</v>
      </c>
      <c r="E32" s="11" t="s">
        <v>1</v>
      </c>
      <c r="I32" s="35" t="s">
        <v>215</v>
      </c>
      <c r="J32" s="71" t="s">
        <v>223</v>
      </c>
    </row>
    <row r="33" spans="2:10" x14ac:dyDescent="0.25">
      <c r="B33" s="29"/>
      <c r="C33" s="9" t="s">
        <v>330</v>
      </c>
      <c r="D33" s="12">
        <f>25.4*9</f>
        <v>228.6</v>
      </c>
      <c r="E33" s="11" t="s">
        <v>1</v>
      </c>
      <c r="J33" s="71" t="s">
        <v>223</v>
      </c>
    </row>
    <row r="34" spans="2:10" x14ac:dyDescent="0.25">
      <c r="B34" s="29"/>
      <c r="C34" s="9" t="s">
        <v>259</v>
      </c>
      <c r="D34" s="12">
        <v>91.3</v>
      </c>
      <c r="E34" s="11" t="s">
        <v>1</v>
      </c>
      <c r="J34" s="71"/>
    </row>
    <row r="35" spans="2:10" x14ac:dyDescent="0.25">
      <c r="B35" s="29"/>
      <c r="C35" s="9" t="s">
        <v>260</v>
      </c>
      <c r="D35" s="12">
        <v>76.2</v>
      </c>
      <c r="E35" s="11" t="s">
        <v>1</v>
      </c>
      <c r="J35" s="71"/>
    </row>
    <row r="36" spans="2:10" x14ac:dyDescent="0.25">
      <c r="B36" s="29"/>
      <c r="C36" s="9" t="s">
        <v>261</v>
      </c>
      <c r="D36" s="12">
        <v>250.1</v>
      </c>
      <c r="E36" s="11" t="s">
        <v>1</v>
      </c>
      <c r="J36" s="71"/>
    </row>
    <row r="37" spans="2:10" x14ac:dyDescent="0.25">
      <c r="B37" s="29"/>
      <c r="C37" s="9"/>
      <c r="D37" s="12"/>
      <c r="E37" s="11"/>
      <c r="J37" s="71"/>
    </row>
    <row r="38" spans="2:10" x14ac:dyDescent="0.25">
      <c r="B38" s="29"/>
      <c r="C38" s="9" t="s">
        <v>267</v>
      </c>
      <c r="D38" s="12">
        <v>133</v>
      </c>
      <c r="E38" s="11" t="s">
        <v>1</v>
      </c>
      <c r="J38" s="71"/>
    </row>
    <row r="39" spans="2:10" x14ac:dyDescent="0.25">
      <c r="B39" s="29"/>
      <c r="C39" s="9" t="s">
        <v>268</v>
      </c>
      <c r="D39" s="12">
        <v>85</v>
      </c>
      <c r="E39" s="11" t="s">
        <v>1</v>
      </c>
      <c r="J39" s="71"/>
    </row>
    <row r="40" spans="2:10" x14ac:dyDescent="0.25">
      <c r="B40" s="29"/>
      <c r="C40" s="9" t="s">
        <v>269</v>
      </c>
      <c r="D40" s="12">
        <v>350</v>
      </c>
      <c r="E40" s="11" t="s">
        <v>1</v>
      </c>
      <c r="J40" s="71"/>
    </row>
    <row r="41" spans="2:10" x14ac:dyDescent="0.25">
      <c r="B41" s="29"/>
      <c r="C41" s="9" t="s">
        <v>270</v>
      </c>
      <c r="D41" s="12">
        <f>4.25*25.4</f>
        <v>107.94999999999999</v>
      </c>
      <c r="E41" s="11" t="s">
        <v>1</v>
      </c>
      <c r="J41" s="71"/>
    </row>
    <row r="42" spans="2:10" x14ac:dyDescent="0.25">
      <c r="B42" s="29"/>
      <c r="C42" s="9" t="s">
        <v>271</v>
      </c>
      <c r="D42" s="12">
        <f>3*25.4</f>
        <v>76.199999999999989</v>
      </c>
      <c r="E42" s="11" t="s">
        <v>1</v>
      </c>
      <c r="J42" s="71"/>
    </row>
    <row r="43" spans="2:10" x14ac:dyDescent="0.25">
      <c r="B43" s="29"/>
      <c r="C43" s="9" t="s">
        <v>272</v>
      </c>
      <c r="D43" s="12">
        <f>9*25.4</f>
        <v>228.6</v>
      </c>
      <c r="E43" s="11" t="s">
        <v>1</v>
      </c>
      <c r="J43" s="71"/>
    </row>
    <row r="44" spans="2:10" x14ac:dyDescent="0.25">
      <c r="B44" s="29"/>
      <c r="C44" s="9" t="s">
        <v>262</v>
      </c>
      <c r="D44" s="12">
        <f>4.25*25.4</f>
        <v>107.94999999999999</v>
      </c>
      <c r="E44" s="11" t="s">
        <v>1</v>
      </c>
      <c r="J44" s="71"/>
    </row>
    <row r="45" spans="2:10" x14ac:dyDescent="0.25">
      <c r="B45" s="29"/>
      <c r="C45" s="9" t="s">
        <v>264</v>
      </c>
      <c r="D45" s="12">
        <f>3*25.4</f>
        <v>76.199999999999989</v>
      </c>
      <c r="E45" s="11" t="s">
        <v>1</v>
      </c>
      <c r="J45" s="71"/>
    </row>
    <row r="46" spans="2:10" x14ac:dyDescent="0.25">
      <c r="B46" s="29"/>
      <c r="C46" s="9" t="s">
        <v>263</v>
      </c>
      <c r="D46" s="12">
        <f>9*25.4</f>
        <v>228.6</v>
      </c>
      <c r="E46" s="11" t="s">
        <v>1</v>
      </c>
      <c r="J46" s="71"/>
    </row>
    <row r="47" spans="2:10" x14ac:dyDescent="0.25">
      <c r="B47" s="29"/>
      <c r="C47" s="9" t="s">
        <v>373</v>
      </c>
      <c r="D47" s="12">
        <v>3</v>
      </c>
      <c r="E47" s="11" t="s">
        <v>1</v>
      </c>
      <c r="J47" s="71"/>
    </row>
    <row r="48" spans="2:10" x14ac:dyDescent="0.25">
      <c r="B48" s="29"/>
      <c r="C48" s="13" t="s">
        <v>282</v>
      </c>
      <c r="D48" s="77">
        <v>15</v>
      </c>
      <c r="E48" s="15" t="s">
        <v>283</v>
      </c>
      <c r="J48" s="71"/>
    </row>
    <row r="49" spans="2:15" x14ac:dyDescent="0.25">
      <c r="B49" s="29"/>
      <c r="D49"/>
      <c r="J49" s="71"/>
    </row>
    <row r="50" spans="2:15" x14ac:dyDescent="0.25">
      <c r="B50" s="29" t="s">
        <v>367</v>
      </c>
      <c r="D50"/>
      <c r="J50" s="71"/>
    </row>
    <row r="51" spans="2:15" x14ac:dyDescent="0.25">
      <c r="C51" s="6" t="s">
        <v>372</v>
      </c>
      <c r="D51" s="45">
        <f>D98+D79+D81+D57+D39</f>
        <v>927.46441919953531</v>
      </c>
      <c r="E51" s="8" t="s">
        <v>1</v>
      </c>
      <c r="I51" s="35" t="s">
        <v>153</v>
      </c>
    </row>
    <row r="52" spans="2:15" x14ac:dyDescent="0.25">
      <c r="C52" s="9" t="s">
        <v>125</v>
      </c>
      <c r="D52" s="43">
        <f>D85+(D31*2)+(D34)*2+D48*2</f>
        <v>1092.5</v>
      </c>
      <c r="E52" s="11" t="s">
        <v>1</v>
      </c>
      <c r="I52" s="35" t="s">
        <v>140</v>
      </c>
      <c r="J52" s="71" t="s">
        <v>223</v>
      </c>
    </row>
    <row r="53" spans="2:15" x14ac:dyDescent="0.25">
      <c r="C53" s="9" t="s">
        <v>126</v>
      </c>
      <c r="D53" s="43">
        <f>D85+(D31*2)+(D34)*2+D48*2</f>
        <v>1092.5</v>
      </c>
      <c r="E53" s="11" t="s">
        <v>1</v>
      </c>
      <c r="I53" s="35" t="s">
        <v>160</v>
      </c>
      <c r="J53" s="71" t="s">
        <v>223</v>
      </c>
    </row>
    <row r="54" spans="2:15" x14ac:dyDescent="0.25">
      <c r="C54" s="13" t="s">
        <v>385</v>
      </c>
      <c r="D54" s="41">
        <f>D57</f>
        <v>101.19999999999999</v>
      </c>
      <c r="E54" s="15" t="s">
        <v>1</v>
      </c>
      <c r="I54" s="35" t="s">
        <v>237</v>
      </c>
    </row>
    <row r="55" spans="2:15" x14ac:dyDescent="0.25">
      <c r="D55" s="39"/>
    </row>
    <row r="56" spans="2:15" x14ac:dyDescent="0.25">
      <c r="B56" s="29" t="s">
        <v>255</v>
      </c>
      <c r="H56" s="26"/>
    </row>
    <row r="57" spans="2:15" x14ac:dyDescent="0.25">
      <c r="C57" s="6" t="s">
        <v>256</v>
      </c>
      <c r="D57" s="45">
        <f>IF(D77/2.6 &lt;D42+2*D48, D42+2*D48-5,D77/2.6)</f>
        <v>101.19999999999999</v>
      </c>
      <c r="E57" s="8" t="s">
        <v>1</v>
      </c>
      <c r="H57" s="26"/>
      <c r="I57" s="35" t="s">
        <v>180</v>
      </c>
      <c r="J57" s="71" t="s">
        <v>223</v>
      </c>
    </row>
    <row r="58" spans="2:15" x14ac:dyDescent="0.25">
      <c r="C58" s="9" t="s">
        <v>238</v>
      </c>
      <c r="D58" s="39">
        <f>D80</f>
        <v>193.36604054762694</v>
      </c>
      <c r="E58" s="11" t="s">
        <v>1</v>
      </c>
      <c r="H58" s="26"/>
      <c r="I58" s="35" t="s">
        <v>171</v>
      </c>
      <c r="J58" s="71" t="s">
        <v>223</v>
      </c>
    </row>
    <row r="59" spans="2:15" x14ac:dyDescent="0.25">
      <c r="C59" s="9" t="s">
        <v>286</v>
      </c>
      <c r="D59" s="10">
        <f>(D53-D80)/2+D80</f>
        <v>642.93302027381355</v>
      </c>
      <c r="E59" s="11" t="s">
        <v>1</v>
      </c>
      <c r="H59" s="26"/>
      <c r="I59" s="73" t="s">
        <v>149</v>
      </c>
      <c r="J59" s="78" t="s">
        <v>287</v>
      </c>
      <c r="K59" s="72" t="s">
        <v>288</v>
      </c>
    </row>
    <row r="60" spans="2:15" x14ac:dyDescent="0.25">
      <c r="C60" s="9" t="s">
        <v>337</v>
      </c>
      <c r="D60" s="12">
        <v>15</v>
      </c>
      <c r="E60" s="11" t="s">
        <v>1</v>
      </c>
      <c r="H60" s="26"/>
      <c r="I60" s="35" t="s">
        <v>169</v>
      </c>
      <c r="J60" s="71"/>
    </row>
    <row r="61" spans="2:15" x14ac:dyDescent="0.25">
      <c r="C61" s="13" t="s">
        <v>338</v>
      </c>
      <c r="D61" s="14">
        <f>D40+24</f>
        <v>374</v>
      </c>
      <c r="E61" s="15" t="s">
        <v>1</v>
      </c>
      <c r="H61" s="26"/>
      <c r="I61" s="35" t="s">
        <v>172</v>
      </c>
      <c r="J61" s="71" t="s">
        <v>223</v>
      </c>
    </row>
    <row r="62" spans="2:15" x14ac:dyDescent="0.25">
      <c r="D62" s="10"/>
      <c r="H62" s="26"/>
    </row>
    <row r="63" spans="2:15" x14ac:dyDescent="0.25">
      <c r="B63" s="29" t="s">
        <v>315</v>
      </c>
      <c r="D63" s="10"/>
      <c r="H63" s="26"/>
      <c r="J63" s="6" t="s">
        <v>361</v>
      </c>
      <c r="K63" s="60" t="s">
        <v>363</v>
      </c>
      <c r="L63" s="60" t="s">
        <v>362</v>
      </c>
      <c r="M63" s="16" t="s">
        <v>364</v>
      </c>
      <c r="N63" s="60"/>
      <c r="O63" s="8"/>
    </row>
    <row r="64" spans="2:15" x14ac:dyDescent="0.25">
      <c r="B64" s="29"/>
      <c r="C64" s="6" t="s">
        <v>336</v>
      </c>
      <c r="D64" s="16">
        <f>ROUNDDOWN((D67-D31-D48)/D38,1)</f>
        <v>2.4</v>
      </c>
      <c r="E64" s="8"/>
      <c r="H64" s="26"/>
      <c r="J64" s="32">
        <f>D64*D38</f>
        <v>319.2</v>
      </c>
      <c r="K64" s="39">
        <f>D67</f>
        <v>449.5669797261865</v>
      </c>
      <c r="L64" s="39">
        <f>-(J64-K64)-D31-D48</f>
        <v>7.4169797261865256</v>
      </c>
      <c r="M64" s="10" t="str">
        <f>IF(L64&gt;0,"Spare","Interference")</f>
        <v>Spare</v>
      </c>
      <c r="O64" s="11"/>
    </row>
    <row r="65" spans="2:15" x14ac:dyDescent="0.25">
      <c r="B65" s="29"/>
      <c r="C65" s="9" t="s">
        <v>358</v>
      </c>
      <c r="D65" s="10">
        <f>ROUNDUP(D194/(D38+D60),0)</f>
        <v>5</v>
      </c>
      <c r="E65" s="11"/>
      <c r="H65" s="26"/>
      <c r="J65" s="34">
        <f>D65*(D38+D60)-D60</f>
        <v>725</v>
      </c>
      <c r="K65" s="41">
        <f>D66</f>
        <v>642.93302027381355</v>
      </c>
      <c r="L65" s="41">
        <f>J65-K65</f>
        <v>82.066979726186446</v>
      </c>
      <c r="M65" s="61" t="s">
        <v>360</v>
      </c>
      <c r="N65" s="61"/>
      <c r="O65" s="15"/>
    </row>
    <row r="66" spans="2:15" x14ac:dyDescent="0.25">
      <c r="C66" s="9" t="s">
        <v>316</v>
      </c>
      <c r="D66" s="10">
        <f>(D53-D80)/2+D80</f>
        <v>642.93302027381355</v>
      </c>
      <c r="E66" s="11" t="s">
        <v>1</v>
      </c>
      <c r="H66" s="26"/>
      <c r="J66" s="71"/>
    </row>
    <row r="67" spans="2:15" x14ac:dyDescent="0.25">
      <c r="C67" s="9" t="s">
        <v>317</v>
      </c>
      <c r="D67" s="10">
        <f>D194-D80</f>
        <v>449.5669797261865</v>
      </c>
      <c r="E67" s="11" t="s">
        <v>1</v>
      </c>
      <c r="H67" s="26"/>
      <c r="J67" s="71"/>
    </row>
    <row r="68" spans="2:15" x14ac:dyDescent="0.25">
      <c r="C68" s="9" t="s">
        <v>109</v>
      </c>
      <c r="D68" s="10">
        <f>D77</f>
        <v>193.36604054762694</v>
      </c>
      <c r="E68" s="11" t="s">
        <v>1</v>
      </c>
      <c r="H68" s="26"/>
      <c r="I68" s="35" t="s">
        <v>145</v>
      </c>
      <c r="J68" s="71" t="s">
        <v>223</v>
      </c>
    </row>
    <row r="69" spans="2:15" x14ac:dyDescent="0.25">
      <c r="C69" s="13" t="s">
        <v>129</v>
      </c>
      <c r="D69" s="14">
        <f>D81</f>
        <v>129.55524716691005</v>
      </c>
      <c r="E69" s="15" t="s">
        <v>1</v>
      </c>
      <c r="H69" s="26"/>
      <c r="I69" s="35" t="s">
        <v>179</v>
      </c>
      <c r="J69" s="71" t="s">
        <v>223</v>
      </c>
    </row>
    <row r="70" spans="2:15" x14ac:dyDescent="0.25">
      <c r="D70" s="39"/>
    </row>
    <row r="71" spans="2:15" x14ac:dyDescent="0.25">
      <c r="B71" s="53" t="s">
        <v>177</v>
      </c>
    </row>
    <row r="72" spans="2:15" x14ac:dyDescent="0.25">
      <c r="C72" s="6" t="s">
        <v>266</v>
      </c>
      <c r="D72" s="56">
        <f>D96+D79+D81</f>
        <v>431.9925333912048</v>
      </c>
      <c r="E72" s="8" t="s">
        <v>1</v>
      </c>
      <c r="I72" s="35" t="s">
        <v>156</v>
      </c>
    </row>
    <row r="73" spans="2:15" x14ac:dyDescent="0.25">
      <c r="C73" s="13" t="s">
        <v>178</v>
      </c>
      <c r="D73" s="42">
        <f>D96+D79+D81+D57</f>
        <v>533.19253339120473</v>
      </c>
      <c r="E73" s="15" t="s">
        <v>1</v>
      </c>
      <c r="I73" s="35" t="s">
        <v>157</v>
      </c>
      <c r="J73" t="s">
        <v>280</v>
      </c>
    </row>
    <row r="74" spans="2:15" x14ac:dyDescent="0.25">
      <c r="D74" s="39"/>
    </row>
    <row r="75" spans="2:15" x14ac:dyDescent="0.25">
      <c r="B75" s="29" t="s">
        <v>309</v>
      </c>
      <c r="D75" s="10"/>
      <c r="H75" s="26"/>
    </row>
    <row r="76" spans="2:15" ht="17.25" x14ac:dyDescent="0.25">
      <c r="C76" s="6" t="s">
        <v>123</v>
      </c>
      <c r="D76" s="7">
        <v>65</v>
      </c>
      <c r="E76" s="8" t="s">
        <v>85</v>
      </c>
      <c r="H76" s="26"/>
      <c r="J76" s="71" t="s">
        <v>223</v>
      </c>
      <c r="K76" t="s">
        <v>239</v>
      </c>
    </row>
    <row r="77" spans="2:15" x14ac:dyDescent="0.25">
      <c r="C77" s="9" t="s">
        <v>110</v>
      </c>
      <c r="D77" s="10">
        <f>SQRT(D137/D76*82.5)</f>
        <v>193.36604054762694</v>
      </c>
      <c r="E77" s="11" t="s">
        <v>1</v>
      </c>
      <c r="H77" s="26"/>
      <c r="I77" s="35" t="s">
        <v>144</v>
      </c>
      <c r="J77" s="71" t="s">
        <v>223</v>
      </c>
    </row>
    <row r="78" spans="2:15" x14ac:dyDescent="0.25">
      <c r="C78" s="9" t="s">
        <v>369</v>
      </c>
      <c r="D78" s="10">
        <f>D77+2*D42+2*D48</f>
        <v>375.76604054762691</v>
      </c>
      <c r="E78" s="11" t="s">
        <v>1</v>
      </c>
      <c r="H78" s="26"/>
      <c r="J78" s="71"/>
      <c r="K78" t="s">
        <v>382</v>
      </c>
    </row>
    <row r="79" spans="2:15" x14ac:dyDescent="0.25">
      <c r="C79" s="9" t="s">
        <v>252</v>
      </c>
      <c r="D79" s="91">
        <f>D77*0.79+82</f>
        <v>234.75917203262529</v>
      </c>
      <c r="E79" s="11" t="s">
        <v>1</v>
      </c>
      <c r="H79" s="26"/>
      <c r="I79" s="35" t="s">
        <v>164</v>
      </c>
      <c r="J79" s="71" t="s">
        <v>223</v>
      </c>
      <c r="K79" s="76"/>
      <c r="L79" t="s">
        <v>384</v>
      </c>
    </row>
    <row r="80" spans="2:15" x14ac:dyDescent="0.25">
      <c r="C80" s="9" t="s">
        <v>253</v>
      </c>
      <c r="D80" s="10">
        <f>D77</f>
        <v>193.36604054762694</v>
      </c>
      <c r="E80" s="11" t="s">
        <v>1</v>
      </c>
      <c r="H80" s="26"/>
      <c r="I80" s="35" t="s">
        <v>167</v>
      </c>
      <c r="J80" s="71" t="s">
        <v>223</v>
      </c>
      <c r="K80" s="75"/>
    </row>
    <row r="81" spans="2:11" x14ac:dyDescent="0.25">
      <c r="C81" s="13" t="s">
        <v>254</v>
      </c>
      <c r="D81" s="14">
        <f>D77*0.67</f>
        <v>129.55524716691005</v>
      </c>
      <c r="E81" s="15" t="s">
        <v>1</v>
      </c>
      <c r="H81" s="26"/>
      <c r="I81" s="35" t="s">
        <v>176</v>
      </c>
      <c r="J81" s="71" t="s">
        <v>223</v>
      </c>
      <c r="K81" s="76"/>
    </row>
    <row r="83" spans="2:11" x14ac:dyDescent="0.25">
      <c r="B83" s="29" t="s">
        <v>119</v>
      </c>
      <c r="D83"/>
    </row>
    <row r="84" spans="2:11" x14ac:dyDescent="0.25">
      <c r="C84" s="6" t="s">
        <v>233</v>
      </c>
      <c r="D84" s="7">
        <v>40</v>
      </c>
      <c r="E84" s="8" t="s">
        <v>1</v>
      </c>
      <c r="I84" s="35" t="s">
        <v>138</v>
      </c>
      <c r="J84" s="71" t="s">
        <v>223</v>
      </c>
    </row>
    <row r="85" spans="2:11" x14ac:dyDescent="0.25">
      <c r="C85" s="9" t="s">
        <v>235</v>
      </c>
      <c r="D85" s="39">
        <f>D84*2+D16</f>
        <v>664</v>
      </c>
      <c r="E85" s="11" t="s">
        <v>1</v>
      </c>
      <c r="I85" s="35" t="s">
        <v>165</v>
      </c>
      <c r="J85" s="71" t="s">
        <v>223</v>
      </c>
    </row>
    <row r="86" spans="2:11" x14ac:dyDescent="0.25">
      <c r="C86" s="9" t="s">
        <v>120</v>
      </c>
      <c r="D86" s="39">
        <f>(D9+D12)-D15+D42-D28</f>
        <v>376.95</v>
      </c>
      <c r="E86" s="11" t="s">
        <v>1</v>
      </c>
      <c r="I86" s="35" t="s">
        <v>154</v>
      </c>
      <c r="J86" s="71" t="s">
        <v>223</v>
      </c>
      <c r="K86" s="76"/>
    </row>
    <row r="87" spans="2:11" x14ac:dyDescent="0.25">
      <c r="C87" s="9" t="s">
        <v>174</v>
      </c>
      <c r="D87" s="43">
        <f>D52</f>
        <v>1092.5</v>
      </c>
      <c r="E87" s="11" t="s">
        <v>1</v>
      </c>
      <c r="I87" s="35" t="s">
        <v>141</v>
      </c>
      <c r="J87" s="71" t="s">
        <v>223</v>
      </c>
    </row>
    <row r="88" spans="2:11" x14ac:dyDescent="0.25">
      <c r="C88" s="9" t="s">
        <v>173</v>
      </c>
      <c r="D88" s="10">
        <f>D87</f>
        <v>1092.5</v>
      </c>
      <c r="E88" s="11" t="s">
        <v>1</v>
      </c>
      <c r="I88" s="35" t="s">
        <v>161</v>
      </c>
      <c r="J88" s="71" t="s">
        <v>223</v>
      </c>
    </row>
    <row r="89" spans="2:11" x14ac:dyDescent="0.25">
      <c r="C89" s="9" t="s">
        <v>175</v>
      </c>
      <c r="D89" s="43">
        <f>D86</f>
        <v>376.95</v>
      </c>
      <c r="E89" s="11" t="s">
        <v>1</v>
      </c>
      <c r="I89" s="35" t="s">
        <v>155</v>
      </c>
      <c r="J89" s="71" t="s">
        <v>223</v>
      </c>
    </row>
    <row r="90" spans="2:11" x14ac:dyDescent="0.25">
      <c r="C90" s="13" t="s">
        <v>213</v>
      </c>
      <c r="D90" s="42">
        <f>(D52-D85)/2</f>
        <v>214.25</v>
      </c>
      <c r="E90" s="15" t="s">
        <v>1</v>
      </c>
      <c r="I90" s="35" t="s">
        <v>216</v>
      </c>
      <c r="J90" s="71" t="s">
        <v>223</v>
      </c>
    </row>
    <row r="91" spans="2:11" x14ac:dyDescent="0.25">
      <c r="D91" s="43"/>
    </row>
    <row r="92" spans="2:11" x14ac:dyDescent="0.25">
      <c r="B92" s="29" t="s">
        <v>311</v>
      </c>
      <c r="D92" s="26"/>
    </row>
    <row r="93" spans="2:11" x14ac:dyDescent="0.25">
      <c r="B93" s="29"/>
      <c r="C93" s="6" t="s">
        <v>353</v>
      </c>
      <c r="D93" s="45">
        <f>(D94*2+2*D95)/(D14*PI())*D96</f>
        <v>28.531573596673596</v>
      </c>
      <c r="E93" s="8" t="s">
        <v>1</v>
      </c>
      <c r="I93" s="35" t="s">
        <v>158</v>
      </c>
      <c r="J93" s="71" t="s">
        <v>223</v>
      </c>
    </row>
    <row r="94" spans="2:11" x14ac:dyDescent="0.25">
      <c r="C94" s="9" t="s">
        <v>312</v>
      </c>
      <c r="D94" s="10">
        <f>D77</f>
        <v>193.36604054762694</v>
      </c>
      <c r="E94" s="11" t="s">
        <v>1</v>
      </c>
      <c r="I94" s="73" t="s">
        <v>142</v>
      </c>
    </row>
    <row r="95" spans="2:11" x14ac:dyDescent="0.25">
      <c r="C95" s="9" t="s">
        <v>313</v>
      </c>
      <c r="D95" s="10">
        <f>D80</f>
        <v>193.36604054762694</v>
      </c>
      <c r="E95" s="11" t="s">
        <v>1</v>
      </c>
      <c r="I95" s="73" t="s">
        <v>143</v>
      </c>
    </row>
    <row r="96" spans="2:11" x14ac:dyDescent="0.25">
      <c r="C96" s="9" t="s">
        <v>314</v>
      </c>
      <c r="D96" s="10">
        <f>D94*0.35</f>
        <v>67.678114191669422</v>
      </c>
      <c r="E96" s="11" t="s">
        <v>1</v>
      </c>
      <c r="I96" s="35" t="s">
        <v>159</v>
      </c>
    </row>
    <row r="97" spans="2:11" x14ac:dyDescent="0.25">
      <c r="C97" s="9" t="s">
        <v>354</v>
      </c>
      <c r="D97" s="10">
        <f>D14+2*D84</f>
        <v>664</v>
      </c>
      <c r="E97" s="11" t="s">
        <v>1</v>
      </c>
    </row>
    <row r="98" spans="2:11" x14ac:dyDescent="0.25">
      <c r="C98" s="13" t="s">
        <v>355</v>
      </c>
      <c r="D98" s="14">
        <f>(D9+D12)-D15+D42-D28</f>
        <v>376.95</v>
      </c>
      <c r="E98" s="15" t="s">
        <v>1</v>
      </c>
    </row>
    <row r="100" spans="2:11" x14ac:dyDescent="0.25">
      <c r="B100" s="29" t="s">
        <v>71</v>
      </c>
      <c r="D100" s="26"/>
    </row>
    <row r="101" spans="2:11" x14ac:dyDescent="0.25">
      <c r="C101" s="6" t="s">
        <v>206</v>
      </c>
      <c r="D101" s="7">
        <v>120</v>
      </c>
      <c r="E101" s="8" t="s">
        <v>1</v>
      </c>
      <c r="F101" s="11"/>
      <c r="I101" s="35" t="s">
        <v>185</v>
      </c>
      <c r="J101" s="71" t="s">
        <v>223</v>
      </c>
    </row>
    <row r="102" spans="2:11" x14ac:dyDescent="0.25">
      <c r="C102" s="9" t="s">
        <v>209</v>
      </c>
      <c r="D102" s="18">
        <v>1.6</v>
      </c>
      <c r="E102" s="11" t="s">
        <v>1</v>
      </c>
      <c r="I102" s="35" t="s">
        <v>210</v>
      </c>
      <c r="J102" s="71" t="s">
        <v>223</v>
      </c>
    </row>
    <row r="103" spans="2:11" x14ac:dyDescent="0.25">
      <c r="C103" s="9" t="s">
        <v>207</v>
      </c>
      <c r="D103" s="39">
        <f>D101-2*D102</f>
        <v>116.8</v>
      </c>
      <c r="E103" s="11" t="s">
        <v>1</v>
      </c>
      <c r="I103" s="35" t="s">
        <v>208</v>
      </c>
      <c r="J103" s="71" t="s">
        <v>223</v>
      </c>
    </row>
    <row r="104" spans="2:11" x14ac:dyDescent="0.25">
      <c r="C104" s="9" t="s">
        <v>351</v>
      </c>
      <c r="D104" s="39">
        <f>1.45*D101</f>
        <v>174</v>
      </c>
      <c r="E104" s="11" t="s">
        <v>1</v>
      </c>
      <c r="J104" s="71"/>
    </row>
    <row r="105" spans="2:11" x14ac:dyDescent="0.25">
      <c r="C105" s="9" t="s">
        <v>352</v>
      </c>
      <c r="D105" s="39">
        <f>1.12*D101</f>
        <v>134.4</v>
      </c>
      <c r="E105" s="11" t="s">
        <v>1</v>
      </c>
      <c r="J105" s="71"/>
    </row>
    <row r="106" spans="2:11" x14ac:dyDescent="0.25">
      <c r="C106" s="13" t="s">
        <v>275</v>
      </c>
      <c r="D106" s="59">
        <f>D186</f>
        <v>2.4049704777954375</v>
      </c>
      <c r="E106" s="15" t="s">
        <v>52</v>
      </c>
      <c r="I106" s="68" t="s">
        <v>128</v>
      </c>
    </row>
    <row r="107" spans="2:11" x14ac:dyDescent="0.25">
      <c r="D107" s="43"/>
    </row>
    <row r="108" spans="2:11" x14ac:dyDescent="0.25">
      <c r="B108" s="29" t="s">
        <v>241</v>
      </c>
      <c r="D108" s="10"/>
      <c r="H108" s="26"/>
    </row>
    <row r="109" spans="2:11" x14ac:dyDescent="0.25">
      <c r="B109" s="28"/>
      <c r="C109" s="6" t="s">
        <v>273</v>
      </c>
      <c r="D109" s="16">
        <f>D40</f>
        <v>350</v>
      </c>
      <c r="E109" s="8" t="s">
        <v>1</v>
      </c>
      <c r="H109" s="26"/>
      <c r="I109" s="35" t="s">
        <v>168</v>
      </c>
      <c r="J109" s="71" t="s">
        <v>223</v>
      </c>
    </row>
    <row r="110" spans="2:11" x14ac:dyDescent="0.25">
      <c r="B110" s="28"/>
      <c r="C110" s="9" t="s">
        <v>240</v>
      </c>
      <c r="D110" s="10">
        <f>D39</f>
        <v>85</v>
      </c>
      <c r="E110" s="11" t="s">
        <v>1</v>
      </c>
      <c r="H110" s="26"/>
      <c r="I110" s="35" t="s">
        <v>146</v>
      </c>
      <c r="J110" s="71" t="s">
        <v>223</v>
      </c>
      <c r="K110" s="76"/>
    </row>
    <row r="111" spans="2:11" ht="17.25" x14ac:dyDescent="0.25">
      <c r="B111" s="28"/>
      <c r="C111" s="9" t="s">
        <v>274</v>
      </c>
      <c r="D111" s="10">
        <f>D113/D112</f>
        <v>2900.4906082144039</v>
      </c>
      <c r="E111" s="11" t="s">
        <v>90</v>
      </c>
      <c r="H111" s="26"/>
      <c r="I111" s="35" t="s">
        <v>163</v>
      </c>
      <c r="J111" s="71" t="s">
        <v>223</v>
      </c>
    </row>
    <row r="112" spans="2:11" x14ac:dyDescent="0.25">
      <c r="B112" s="28"/>
      <c r="C112" s="9" t="s">
        <v>297</v>
      </c>
      <c r="D112" s="10">
        <f>D65-1</f>
        <v>4</v>
      </c>
      <c r="E112" s="11"/>
      <c r="H112" s="26"/>
      <c r="I112" s="35" t="s">
        <v>166</v>
      </c>
      <c r="J112" s="71" t="s">
        <v>223</v>
      </c>
    </row>
    <row r="113" spans="2:13" ht="17.25" x14ac:dyDescent="0.25">
      <c r="B113" s="28"/>
      <c r="C113" s="9" t="s">
        <v>298</v>
      </c>
      <c r="D113" s="10">
        <f>D77*D60*D112</f>
        <v>11601.962432857616</v>
      </c>
      <c r="E113" s="11" t="s">
        <v>90</v>
      </c>
      <c r="H113" s="26"/>
      <c r="I113" s="35" t="s">
        <v>162</v>
      </c>
      <c r="J113" s="71" t="s">
        <v>223</v>
      </c>
    </row>
    <row r="114" spans="2:13" x14ac:dyDescent="0.25">
      <c r="B114" s="28"/>
      <c r="C114" s="13" t="s">
        <v>124</v>
      </c>
      <c r="D114" s="14">
        <f>SQRT(D111/PI())*2</f>
        <v>60.770217553597114</v>
      </c>
      <c r="E114" s="15" t="s">
        <v>1</v>
      </c>
      <c r="H114" s="26"/>
      <c r="I114" s="35" t="s">
        <v>150</v>
      </c>
      <c r="J114" s="71" t="s">
        <v>223</v>
      </c>
    </row>
    <row r="115" spans="2:13" x14ac:dyDescent="0.25">
      <c r="D115"/>
    </row>
    <row r="116" spans="2:13" x14ac:dyDescent="0.25">
      <c r="B116" s="29" t="s">
        <v>115</v>
      </c>
    </row>
    <row r="117" spans="2:13" ht="17.25" x14ac:dyDescent="0.25">
      <c r="C117" s="6" t="s">
        <v>247</v>
      </c>
      <c r="D117" s="16">
        <f>(D16/20)^2*PI()</f>
        <v>2678.6475601568013</v>
      </c>
      <c r="E117" s="8" t="s">
        <v>2</v>
      </c>
      <c r="G117" t="s">
        <v>248</v>
      </c>
      <c r="J117" s="71" t="s">
        <v>223</v>
      </c>
    </row>
    <row r="118" spans="2:13" x14ac:dyDescent="0.25">
      <c r="C118" s="9" t="s">
        <v>5</v>
      </c>
      <c r="D118" s="10">
        <f>D16*PI()</f>
        <v>1834.6901096964391</v>
      </c>
      <c r="E118" s="11" t="s">
        <v>1</v>
      </c>
      <c r="G118" t="s">
        <v>91</v>
      </c>
      <c r="J118" s="71" t="s">
        <v>223</v>
      </c>
      <c r="M118" s="3"/>
    </row>
    <row r="119" spans="2:13" x14ac:dyDescent="0.25">
      <c r="C119" s="9" t="s">
        <v>276</v>
      </c>
      <c r="D119" s="12">
        <v>60</v>
      </c>
      <c r="E119" s="11" t="s">
        <v>4</v>
      </c>
      <c r="G119" t="s">
        <v>251</v>
      </c>
      <c r="J119" s="71" t="s">
        <v>223</v>
      </c>
    </row>
    <row r="120" spans="2:13" ht="17.25" x14ac:dyDescent="0.25">
      <c r="C120" s="9" t="s">
        <v>249</v>
      </c>
      <c r="D120" s="10">
        <f>D118*D119/1000*((D18-D15-D24)/10)+D117</f>
        <v>5504.9876741441658</v>
      </c>
      <c r="E120" s="11" t="s">
        <v>2</v>
      </c>
      <c r="G120" t="str">
        <f>"Bottom area plus side heated at the nominal rate over "&amp;D119&amp;"% of the available area."</f>
        <v>Bottom area plus side heated at the nominal rate over 60% of the available area.</v>
      </c>
      <c r="J120" s="71" t="s">
        <v>223</v>
      </c>
      <c r="L120" s="29"/>
    </row>
    <row r="121" spans="2:13" ht="17.25" x14ac:dyDescent="0.25">
      <c r="C121" s="9" t="s">
        <v>6</v>
      </c>
      <c r="D121" s="18">
        <v>2</v>
      </c>
      <c r="E121" s="11" t="s">
        <v>277</v>
      </c>
      <c r="G121" t="s">
        <v>250</v>
      </c>
      <c r="J121" s="71" t="s">
        <v>223</v>
      </c>
    </row>
    <row r="122" spans="2:13" x14ac:dyDescent="0.25">
      <c r="C122" s="9" t="s">
        <v>7</v>
      </c>
      <c r="D122" s="10">
        <f>D121*D120</f>
        <v>11009.975348288332</v>
      </c>
      <c r="E122" s="11" t="s">
        <v>8</v>
      </c>
      <c r="G122" t="s">
        <v>92</v>
      </c>
      <c r="J122" s="71" t="s">
        <v>223</v>
      </c>
    </row>
    <row r="123" spans="2:13" x14ac:dyDescent="0.25">
      <c r="C123" s="9" t="s">
        <v>9</v>
      </c>
      <c r="D123" s="12">
        <v>90</v>
      </c>
      <c r="E123" s="11" t="s">
        <v>4</v>
      </c>
      <c r="J123" s="71" t="s">
        <v>223</v>
      </c>
    </row>
    <row r="124" spans="2:13" x14ac:dyDescent="0.25">
      <c r="C124" s="9" t="s">
        <v>10</v>
      </c>
      <c r="D124" s="10">
        <f>D123/100*D10</f>
        <v>96.541582067785853</v>
      </c>
      <c r="E124" s="11" t="s">
        <v>3</v>
      </c>
      <c r="J124" s="71" t="s">
        <v>223</v>
      </c>
    </row>
    <row r="125" spans="2:13" x14ac:dyDescent="0.25">
      <c r="C125" s="9" t="s">
        <v>11</v>
      </c>
      <c r="D125" s="12">
        <v>25</v>
      </c>
      <c r="E125" s="30" t="s">
        <v>13</v>
      </c>
      <c r="J125" s="71" t="s">
        <v>223</v>
      </c>
    </row>
    <row r="126" spans="2:13" x14ac:dyDescent="0.25">
      <c r="C126" s="9" t="s">
        <v>12</v>
      </c>
      <c r="D126" s="12">
        <v>95</v>
      </c>
      <c r="E126" s="30" t="s">
        <v>13</v>
      </c>
      <c r="G126" t="s">
        <v>93</v>
      </c>
      <c r="J126" s="71" t="s">
        <v>223</v>
      </c>
      <c r="M126" s="3"/>
    </row>
    <row r="127" spans="2:13" x14ac:dyDescent="0.25">
      <c r="C127" s="9" t="s">
        <v>14</v>
      </c>
      <c r="D127" s="10">
        <f>D126-D125</f>
        <v>70</v>
      </c>
      <c r="E127" s="30" t="s">
        <v>13</v>
      </c>
      <c r="J127" s="71" t="s">
        <v>223</v>
      </c>
      <c r="M127" s="3"/>
    </row>
    <row r="128" spans="2:13" x14ac:dyDescent="0.25">
      <c r="C128" s="9" t="s">
        <v>15</v>
      </c>
      <c r="D128" s="21">
        <f>D124*4.186*D127/1000</f>
        <v>28.288614377502611</v>
      </c>
      <c r="E128" s="30" t="s">
        <v>16</v>
      </c>
      <c r="J128" s="71" t="s">
        <v>223</v>
      </c>
      <c r="M128" s="3"/>
    </row>
    <row r="129" spans="2:13" x14ac:dyDescent="0.25">
      <c r="C129" s="9" t="s">
        <v>17</v>
      </c>
      <c r="D129" s="10">
        <f>D128*1000000/D122/60</f>
        <v>42.822703173900244</v>
      </c>
      <c r="E129" s="30" t="s">
        <v>18</v>
      </c>
      <c r="G129" t="s">
        <v>77</v>
      </c>
      <c r="J129" s="71" t="s">
        <v>223</v>
      </c>
    </row>
    <row r="130" spans="2:13" x14ac:dyDescent="0.25">
      <c r="C130" s="9" t="s">
        <v>19</v>
      </c>
      <c r="D130" s="12">
        <v>5</v>
      </c>
      <c r="E130" s="30" t="s">
        <v>4</v>
      </c>
      <c r="G130" t="s">
        <v>87</v>
      </c>
      <c r="J130" s="71" t="s">
        <v>223</v>
      </c>
      <c r="M130" s="3"/>
    </row>
    <row r="131" spans="2:13" x14ac:dyDescent="0.25">
      <c r="C131" s="13" t="s">
        <v>20</v>
      </c>
      <c r="D131" s="14">
        <f>D129*(100+D130)/100</f>
        <v>44.963838332595259</v>
      </c>
      <c r="E131" s="31" t="s">
        <v>18</v>
      </c>
      <c r="G131" t="str">
        <f>"Expected boiling time for "&amp;ROUND(D124,0)&amp;" litres."</f>
        <v>Expected boiling time for 97 litres.</v>
      </c>
      <c r="J131" s="71" t="s">
        <v>223</v>
      </c>
    </row>
    <row r="133" spans="2:13" x14ac:dyDescent="0.25">
      <c r="B133" s="29" t="s">
        <v>114</v>
      </c>
    </row>
    <row r="134" spans="2:13" x14ac:dyDescent="0.25">
      <c r="C134" s="6" t="s">
        <v>111</v>
      </c>
      <c r="D134" s="7">
        <v>37</v>
      </c>
      <c r="E134" s="8" t="s">
        <v>278</v>
      </c>
      <c r="G134" t="s">
        <v>103</v>
      </c>
      <c r="J134" s="71" t="s">
        <v>223</v>
      </c>
    </row>
    <row r="135" spans="2:13" x14ac:dyDescent="0.25">
      <c r="C135" s="9" t="s">
        <v>112</v>
      </c>
      <c r="D135" s="10">
        <f>D122/(D134/100)</f>
        <v>29756.690130509003</v>
      </c>
      <c r="E135" s="11" t="s">
        <v>8</v>
      </c>
      <c r="G135" t="s">
        <v>78</v>
      </c>
      <c r="J135" s="71" t="s">
        <v>223</v>
      </c>
      <c r="L135" t="s">
        <v>113</v>
      </c>
    </row>
    <row r="136" spans="2:13" x14ac:dyDescent="0.25">
      <c r="C136" s="9" t="s">
        <v>21</v>
      </c>
      <c r="D136" s="12">
        <v>99</v>
      </c>
      <c r="E136" s="11" t="s">
        <v>4</v>
      </c>
      <c r="G136" t="s">
        <v>79</v>
      </c>
      <c r="J136" s="71" t="s">
        <v>223</v>
      </c>
    </row>
    <row r="137" spans="2:13" x14ac:dyDescent="0.25">
      <c r="C137" s="13" t="s">
        <v>86</v>
      </c>
      <c r="D137" s="14">
        <f>D135*(D136/100)</f>
        <v>29459.123229203913</v>
      </c>
      <c r="E137" s="15" t="s">
        <v>8</v>
      </c>
      <c r="G137" t="s">
        <v>88</v>
      </c>
      <c r="J137" s="71" t="s">
        <v>223</v>
      </c>
    </row>
    <row r="138" spans="2:13" x14ac:dyDescent="0.25">
      <c r="D138" s="10"/>
    </row>
    <row r="139" spans="2:13" x14ac:dyDescent="0.25">
      <c r="B139" s="29" t="s">
        <v>116</v>
      </c>
      <c r="D139" s="10"/>
    </row>
    <row r="140" spans="2:13" x14ac:dyDescent="0.25">
      <c r="C140" s="6" t="s">
        <v>29</v>
      </c>
      <c r="D140" s="7" t="s">
        <v>30</v>
      </c>
      <c r="E140" s="8"/>
      <c r="F140" s="8"/>
      <c r="J140" s="71" t="s">
        <v>223</v>
      </c>
    </row>
    <row r="141" spans="2:13" x14ac:dyDescent="0.25">
      <c r="C141" s="9" t="s">
        <v>31</v>
      </c>
      <c r="D141" s="12">
        <v>14</v>
      </c>
      <c r="E141" s="11" t="s">
        <v>32</v>
      </c>
      <c r="F141" s="11"/>
      <c r="J141" s="71" t="s">
        <v>223</v>
      </c>
    </row>
    <row r="142" spans="2:13" x14ac:dyDescent="0.25">
      <c r="C142" s="9" t="s">
        <v>33</v>
      </c>
      <c r="D142" s="17">
        <v>20</v>
      </c>
      <c r="E142" s="11" t="s">
        <v>34</v>
      </c>
      <c r="F142" s="11"/>
      <c r="G142" t="s">
        <v>94</v>
      </c>
      <c r="J142" s="71" t="s">
        <v>223</v>
      </c>
    </row>
    <row r="143" spans="2:13" x14ac:dyDescent="0.25">
      <c r="C143" s="9" t="s">
        <v>28</v>
      </c>
      <c r="D143" s="17">
        <v>5.85</v>
      </c>
      <c r="E143" s="11" t="s">
        <v>4</v>
      </c>
      <c r="F143" s="11"/>
      <c r="G143" t="s">
        <v>95</v>
      </c>
      <c r="J143" s="71" t="s">
        <v>223</v>
      </c>
    </row>
    <row r="144" spans="2:13" ht="18" x14ac:dyDescent="0.35">
      <c r="C144" s="9" t="s">
        <v>35</v>
      </c>
      <c r="D144" s="18">
        <v>19.399999999999999</v>
      </c>
      <c r="E144" s="11" t="s">
        <v>4</v>
      </c>
      <c r="F144" s="11"/>
      <c r="G144" t="s">
        <v>80</v>
      </c>
      <c r="J144" s="71" t="s">
        <v>223</v>
      </c>
    </row>
    <row r="145" spans="2:12" x14ac:dyDescent="0.25">
      <c r="C145" s="9" t="s">
        <v>23</v>
      </c>
      <c r="D145" s="19">
        <f>D142-(D143/100*9*2.592)</f>
        <v>18.635311999999999</v>
      </c>
      <c r="E145" s="11" t="s">
        <v>24</v>
      </c>
      <c r="F145" s="11"/>
      <c r="J145" s="71" t="s">
        <v>223</v>
      </c>
    </row>
    <row r="146" spans="2:12" x14ac:dyDescent="0.25">
      <c r="C146" s="9" t="s">
        <v>25</v>
      </c>
      <c r="D146" s="19">
        <f>(D145*(1-D141/100))-(D141*0.02592)</f>
        <v>15.663488319999999</v>
      </c>
      <c r="E146" s="11" t="s">
        <v>25</v>
      </c>
      <c r="F146" s="11"/>
      <c r="J146" s="71" t="s">
        <v>223</v>
      </c>
    </row>
    <row r="147" spans="2:12" x14ac:dyDescent="0.25">
      <c r="C147" s="9" t="s">
        <v>26</v>
      </c>
      <c r="D147" s="18">
        <v>45.6</v>
      </c>
      <c r="E147" s="11" t="s">
        <v>4</v>
      </c>
      <c r="F147" s="11"/>
      <c r="G147" t="s">
        <v>246</v>
      </c>
      <c r="J147" s="71" t="s">
        <v>223</v>
      </c>
    </row>
    <row r="148" spans="2:12" ht="18" x14ac:dyDescent="0.35">
      <c r="C148" s="9" t="s">
        <v>27</v>
      </c>
      <c r="D148" s="19">
        <f>D147/100*((1-D141/100)/12*44)</f>
        <v>1.4379200000000001</v>
      </c>
      <c r="E148" s="11" t="s">
        <v>97</v>
      </c>
      <c r="F148" s="11"/>
      <c r="G148" t="s">
        <v>96</v>
      </c>
      <c r="J148" s="71" t="s">
        <v>223</v>
      </c>
    </row>
    <row r="149" spans="2:12" x14ac:dyDescent="0.25">
      <c r="C149" s="13" t="s">
        <v>22</v>
      </c>
      <c r="D149" s="20">
        <f>D137/(D146*1000000)*3600</f>
        <v>6.770704038494415</v>
      </c>
      <c r="E149" s="15" t="s">
        <v>39</v>
      </c>
      <c r="F149" s="15"/>
      <c r="J149" s="71" t="s">
        <v>223</v>
      </c>
    </row>
    <row r="150" spans="2:12" x14ac:dyDescent="0.25">
      <c r="D150" s="2"/>
    </row>
    <row r="151" spans="2:12" x14ac:dyDescent="0.25">
      <c r="B151" s="29" t="s">
        <v>117</v>
      </c>
      <c r="D151" s="2"/>
    </row>
    <row r="152" spans="2:12" x14ac:dyDescent="0.25">
      <c r="C152" s="6" t="s">
        <v>48</v>
      </c>
      <c r="D152" s="23"/>
      <c r="E152" s="8"/>
      <c r="F152" s="8"/>
    </row>
    <row r="153" spans="2:12" ht="17.25" x14ac:dyDescent="0.25">
      <c r="C153" s="9" t="s">
        <v>40</v>
      </c>
      <c r="D153" s="17">
        <v>3.56</v>
      </c>
      <c r="E153" s="11" t="s">
        <v>37</v>
      </c>
      <c r="F153" s="11"/>
      <c r="G153" t="s">
        <v>242</v>
      </c>
      <c r="J153" s="71" t="s">
        <v>223</v>
      </c>
    </row>
    <row r="154" spans="2:12" x14ac:dyDescent="0.25">
      <c r="C154" s="9" t="s">
        <v>41</v>
      </c>
      <c r="D154" s="17">
        <v>4.0999999999999996</v>
      </c>
      <c r="E154" s="11" t="s">
        <v>38</v>
      </c>
      <c r="F154" s="11"/>
      <c r="J154" s="71" t="s">
        <v>223</v>
      </c>
    </row>
    <row r="155" spans="2:12" x14ac:dyDescent="0.25">
      <c r="C155" s="9" t="s">
        <v>36</v>
      </c>
      <c r="D155" s="12">
        <v>100</v>
      </c>
      <c r="E155" s="11" t="s">
        <v>4</v>
      </c>
      <c r="F155" s="11"/>
      <c r="J155" s="71" t="s">
        <v>223</v>
      </c>
    </row>
    <row r="156" spans="2:12" ht="17.25" x14ac:dyDescent="0.25">
      <c r="C156" s="9" t="s">
        <v>47</v>
      </c>
      <c r="D156" s="19">
        <f>D154*D155/100+D153</f>
        <v>7.66</v>
      </c>
      <c r="E156" s="11" t="s">
        <v>42</v>
      </c>
      <c r="F156" s="11"/>
      <c r="J156" s="71" t="s">
        <v>223</v>
      </c>
    </row>
    <row r="157" spans="2:12" ht="17.25" x14ac:dyDescent="0.25">
      <c r="C157" s="9" t="s">
        <v>46</v>
      </c>
      <c r="D157" s="19">
        <f>D154+D154*D155/100</f>
        <v>8.1999999999999993</v>
      </c>
      <c r="E157" s="11" t="s">
        <v>42</v>
      </c>
      <c r="F157" s="11"/>
      <c r="G157" t="s">
        <v>81</v>
      </c>
      <c r="J157" s="71" t="s">
        <v>223</v>
      </c>
    </row>
    <row r="158" spans="2:12" ht="17.25" x14ac:dyDescent="0.25">
      <c r="C158" s="9" t="s">
        <v>45</v>
      </c>
      <c r="D158" s="21">
        <f>D156*D149</f>
        <v>51.863592934867221</v>
      </c>
      <c r="E158" s="11" t="s">
        <v>43</v>
      </c>
      <c r="F158" s="11"/>
      <c r="J158" s="71" t="s">
        <v>223</v>
      </c>
      <c r="L158" s="80" t="s">
        <v>339</v>
      </c>
    </row>
    <row r="159" spans="2:12" ht="17.25" x14ac:dyDescent="0.25">
      <c r="C159" s="13" t="s">
        <v>44</v>
      </c>
      <c r="D159" s="22">
        <f>D157*D149</f>
        <v>55.519773115654196</v>
      </c>
      <c r="E159" s="15" t="s">
        <v>43</v>
      </c>
      <c r="F159" s="33" t="str">
        <f>ROUND(D159*1000/3600, 1)&amp;" L/sec"</f>
        <v>15.4 L/sec</v>
      </c>
      <c r="G159" s="9"/>
      <c r="J159" s="71" t="s">
        <v>223</v>
      </c>
    </row>
    <row r="160" spans="2:12" x14ac:dyDescent="0.25">
      <c r="F160" s="11"/>
    </row>
    <row r="161" spans="2:14" x14ac:dyDescent="0.25">
      <c r="B161" s="29" t="s">
        <v>118</v>
      </c>
      <c r="D161"/>
      <c r="F161" s="11"/>
    </row>
    <row r="162" spans="2:14" x14ac:dyDescent="0.25">
      <c r="C162" s="6" t="s">
        <v>49</v>
      </c>
      <c r="D162" s="40">
        <f>D158*1000/3600</f>
        <v>14.406553593018673</v>
      </c>
      <c r="E162" s="8" t="s">
        <v>50</v>
      </c>
      <c r="F162" s="11"/>
      <c r="J162" s="71" t="s">
        <v>223</v>
      </c>
    </row>
    <row r="163" spans="2:14" x14ac:dyDescent="0.25">
      <c r="C163" s="9" t="s">
        <v>51</v>
      </c>
      <c r="D163" s="12">
        <v>900</v>
      </c>
      <c r="E163" s="30" t="s">
        <v>13</v>
      </c>
      <c r="F163" s="48" t="s">
        <v>82</v>
      </c>
      <c r="J163" s="71" t="s">
        <v>223</v>
      </c>
      <c r="M163" s="4" t="s">
        <v>100</v>
      </c>
    </row>
    <row r="164" spans="2:14" ht="17.25" x14ac:dyDescent="0.25">
      <c r="C164" s="9" t="str">
        <f>"Density at "&amp;D163&amp;"°C"</f>
        <v>Density at 900°C</v>
      </c>
      <c r="D164" s="24">
        <v>0.3009</v>
      </c>
      <c r="E164" s="30" t="s">
        <v>53</v>
      </c>
      <c r="F164" s="11"/>
      <c r="I164" s="35" t="s">
        <v>58</v>
      </c>
      <c r="J164" s="71" t="s">
        <v>223</v>
      </c>
      <c r="M164" s="4" t="s">
        <v>58</v>
      </c>
      <c r="N164" t="s">
        <v>59</v>
      </c>
    </row>
    <row r="165" spans="2:14" ht="17.25" x14ac:dyDescent="0.25">
      <c r="B165" s="28" t="s">
        <v>356</v>
      </c>
      <c r="C165" s="9" t="s">
        <v>74</v>
      </c>
      <c r="D165" s="10">
        <f>D159/D164</f>
        <v>184.51237326571683</v>
      </c>
      <c r="E165" s="11" t="s">
        <v>43</v>
      </c>
      <c r="F165" s="11"/>
      <c r="H165" t="s">
        <v>62</v>
      </c>
      <c r="I165" s="65">
        <v>900</v>
      </c>
      <c r="J165" s="5" t="s">
        <v>13</v>
      </c>
      <c r="M165" s="38">
        <v>1000</v>
      </c>
      <c r="N165" s="25">
        <v>0.27729999999999999</v>
      </c>
    </row>
    <row r="166" spans="2:14" x14ac:dyDescent="0.25">
      <c r="C166" s="9" t="s">
        <v>75</v>
      </c>
      <c r="D166" s="10">
        <f>D165/3.6</f>
        <v>51.253437018254672</v>
      </c>
      <c r="E166" s="11" t="s">
        <v>57</v>
      </c>
      <c r="F166" s="11"/>
      <c r="H166" t="s">
        <v>63</v>
      </c>
      <c r="I166" s="65">
        <v>350</v>
      </c>
      <c r="J166" s="5" t="s">
        <v>13</v>
      </c>
      <c r="M166" s="38">
        <v>900</v>
      </c>
      <c r="N166" s="25">
        <v>0.3009</v>
      </c>
    </row>
    <row r="167" spans="2:14" x14ac:dyDescent="0.25">
      <c r="C167" s="9" t="s">
        <v>340</v>
      </c>
      <c r="D167" s="19">
        <f>D166/(D77/1000*D80)</f>
        <v>1.3707636686394191</v>
      </c>
      <c r="E167" s="11" t="s">
        <v>52</v>
      </c>
      <c r="F167" s="11"/>
      <c r="H167" t="s">
        <v>64</v>
      </c>
      <c r="I167" s="35">
        <f>I165-I166</f>
        <v>550</v>
      </c>
      <c r="J167" s="5" t="s">
        <v>13</v>
      </c>
      <c r="M167" s="38">
        <v>800</v>
      </c>
      <c r="N167" s="25">
        <v>0.32890000000000003</v>
      </c>
    </row>
    <row r="168" spans="2:14" x14ac:dyDescent="0.25">
      <c r="C168" s="9" t="s">
        <v>99</v>
      </c>
      <c r="D168" s="10">
        <f>D96</f>
        <v>67.678114191669422</v>
      </c>
      <c r="E168" s="11" t="s">
        <v>1</v>
      </c>
      <c r="F168" s="11"/>
      <c r="H168" t="s">
        <v>102</v>
      </c>
      <c r="I168" s="66">
        <v>0.33500000000000002</v>
      </c>
      <c r="J168" s="5" t="s">
        <v>122</v>
      </c>
      <c r="M168" s="38">
        <v>700</v>
      </c>
      <c r="N168" s="25">
        <v>0.36259999999999998</v>
      </c>
    </row>
    <row r="169" spans="2:14" x14ac:dyDescent="0.25">
      <c r="C169" s="9" t="s">
        <v>341</v>
      </c>
      <c r="D169" s="20">
        <f>D165/3600/(D231/1000*(D96/1000))</f>
        <v>1.7240391189220885</v>
      </c>
      <c r="E169" s="15" t="str">
        <f>"m/sec (@ "&amp;D163&amp;" C)"</f>
        <v>m/sec (@ 900 C)</v>
      </c>
      <c r="F169" s="15"/>
      <c r="H169" t="s">
        <v>65</v>
      </c>
      <c r="I169" s="67">
        <f>I168*I167</f>
        <v>184.25</v>
      </c>
      <c r="J169" s="5" t="s">
        <v>13</v>
      </c>
      <c r="M169" s="34">
        <v>600</v>
      </c>
      <c r="N169" s="15">
        <v>0.40429999999999999</v>
      </c>
    </row>
    <row r="170" spans="2:14" x14ac:dyDescent="0.25">
      <c r="B170" s="28" t="s">
        <v>60</v>
      </c>
      <c r="C170" s="9" t="s">
        <v>98</v>
      </c>
      <c r="D170" s="12">
        <v>535</v>
      </c>
      <c r="E170" s="30" t="s">
        <v>13</v>
      </c>
      <c r="H170" t="s">
        <v>101</v>
      </c>
      <c r="I170" s="67">
        <f>I169+I166</f>
        <v>534.25</v>
      </c>
      <c r="J170" s="5" t="s">
        <v>13</v>
      </c>
      <c r="M170" s="38">
        <v>535</v>
      </c>
      <c r="N170" s="25">
        <f>N171-(M170-M171)/(M169-M171)*(N171-N169)</f>
        <v>0.43835999999999997</v>
      </c>
    </row>
    <row r="171" spans="2:14" x14ac:dyDescent="0.25">
      <c r="C171" s="9" t="s">
        <v>76</v>
      </c>
      <c r="D171" s="24">
        <v>0.43840000000000001</v>
      </c>
      <c r="E171" s="30" t="s">
        <v>61</v>
      </c>
      <c r="F171" s="8"/>
      <c r="H171" t="s">
        <v>66</v>
      </c>
      <c r="J171" s="71" t="s">
        <v>223</v>
      </c>
      <c r="M171" s="38">
        <v>500</v>
      </c>
      <c r="N171" s="25">
        <v>0.45669999999999999</v>
      </c>
    </row>
    <row r="172" spans="2:14" ht="17.25" x14ac:dyDescent="0.25">
      <c r="C172" s="9" t="s">
        <v>54</v>
      </c>
      <c r="D172" s="10">
        <f>D165*(D164/D171)</f>
        <v>126.6418182382623</v>
      </c>
      <c r="E172" s="11" t="s">
        <v>43</v>
      </c>
      <c r="F172" s="48" t="s">
        <v>83</v>
      </c>
      <c r="H172" t="s">
        <v>67</v>
      </c>
      <c r="J172" s="71" t="s">
        <v>223</v>
      </c>
      <c r="M172" s="38">
        <v>350</v>
      </c>
      <c r="N172" s="37">
        <v>0.56699999999999995</v>
      </c>
    </row>
    <row r="173" spans="2:14" x14ac:dyDescent="0.25">
      <c r="C173" s="9" t="s">
        <v>55</v>
      </c>
      <c r="D173" s="10">
        <f>D172/3600*1000</f>
        <v>35.178282843961753</v>
      </c>
      <c r="E173" s="11" t="s">
        <v>57</v>
      </c>
      <c r="F173" s="11"/>
      <c r="J173" s="71" t="s">
        <v>223</v>
      </c>
      <c r="M173" s="38">
        <v>225</v>
      </c>
      <c r="N173" s="37">
        <v>0.70799999999999996</v>
      </c>
    </row>
    <row r="174" spans="2:14" x14ac:dyDescent="0.25">
      <c r="C174" s="9" t="s">
        <v>357</v>
      </c>
      <c r="D174" s="10">
        <f>D93</f>
        <v>28.531573596673596</v>
      </c>
      <c r="E174" s="11" t="s">
        <v>1</v>
      </c>
      <c r="F174" s="11"/>
      <c r="J174" s="71" t="s">
        <v>223</v>
      </c>
    </row>
    <row r="175" spans="2:14" x14ac:dyDescent="0.25">
      <c r="C175" s="9" t="s">
        <v>68</v>
      </c>
      <c r="D175" s="19">
        <f>D172/(D118/1000*(D174/1000))/3600</f>
        <v>0.67202617944082577</v>
      </c>
      <c r="E175" s="11" t="s">
        <v>52</v>
      </c>
      <c r="F175" s="11"/>
      <c r="J175" s="71" t="s">
        <v>223</v>
      </c>
    </row>
    <row r="176" spans="2:14" x14ac:dyDescent="0.25">
      <c r="C176" s="9" t="s">
        <v>243</v>
      </c>
      <c r="D176" s="21">
        <f>D84</f>
        <v>40</v>
      </c>
      <c r="E176" s="11" t="s">
        <v>1</v>
      </c>
      <c r="F176" s="11"/>
      <c r="J176" s="71" t="s">
        <v>223</v>
      </c>
    </row>
    <row r="177" spans="2:11" x14ac:dyDescent="0.25">
      <c r="C177" s="13" t="s">
        <v>69</v>
      </c>
      <c r="D177" s="27">
        <f>(D172/3600)/((((D16+2*D176)/2)^2*PI()/1000000)-((D16/2)^2*PI()/1000000))</f>
        <v>0.44862160289273512</v>
      </c>
      <c r="E177" s="15" t="s">
        <v>52</v>
      </c>
      <c r="F177" s="58"/>
      <c r="J177" s="71" t="s">
        <v>223</v>
      </c>
    </row>
    <row r="179" spans="2:11" x14ac:dyDescent="0.25">
      <c r="B179" s="53" t="s">
        <v>127</v>
      </c>
    </row>
    <row r="180" spans="2:11" x14ac:dyDescent="0.25">
      <c r="B180" s="28" t="s">
        <v>342</v>
      </c>
      <c r="C180" s="6" t="s">
        <v>70</v>
      </c>
      <c r="D180" s="7">
        <v>350</v>
      </c>
      <c r="E180" s="44" t="s">
        <v>121</v>
      </c>
      <c r="F180" s="52" t="s">
        <v>84</v>
      </c>
      <c r="J180" s="71" t="s">
        <v>223</v>
      </c>
    </row>
    <row r="181" spans="2:11" x14ac:dyDescent="0.25">
      <c r="C181" s="9" t="s">
        <v>76</v>
      </c>
      <c r="D181" s="24">
        <v>0.56699999999999995</v>
      </c>
      <c r="E181" s="30" t="s">
        <v>61</v>
      </c>
      <c r="F181" s="11"/>
      <c r="J181" s="71" t="s">
        <v>223</v>
      </c>
      <c r="K181" t="s">
        <v>289</v>
      </c>
    </row>
    <row r="182" spans="2:11" x14ac:dyDescent="0.25">
      <c r="C182" s="9" t="s">
        <v>72</v>
      </c>
      <c r="D182" s="39">
        <f>D164/D181*D166</f>
        <v>27.199575306512934</v>
      </c>
      <c r="E182" s="30" t="s">
        <v>56</v>
      </c>
      <c r="F182" s="11"/>
      <c r="J182" s="71" t="s">
        <v>223</v>
      </c>
    </row>
    <row r="183" spans="2:11" x14ac:dyDescent="0.25">
      <c r="C183" s="9" t="s">
        <v>244</v>
      </c>
      <c r="D183" s="10">
        <f>D101</f>
        <v>120</v>
      </c>
      <c r="E183" s="30" t="s">
        <v>1</v>
      </c>
      <c r="F183" s="11"/>
      <c r="J183" s="71" t="s">
        <v>223</v>
      </c>
    </row>
    <row r="184" spans="2:11" x14ac:dyDescent="0.25">
      <c r="C184" s="9" t="s">
        <v>245</v>
      </c>
      <c r="D184" s="10">
        <f>1.84*D183</f>
        <v>220.8</v>
      </c>
      <c r="E184" s="30" t="s">
        <v>1</v>
      </c>
      <c r="F184" s="11"/>
      <c r="J184" s="71" t="s">
        <v>223</v>
      </c>
    </row>
    <row r="185" spans="2:11" x14ac:dyDescent="0.25">
      <c r="C185" s="9" t="s">
        <v>343</v>
      </c>
      <c r="D185" s="19">
        <f>(D182/1000)/((D183/1000*25/1000)*2+(D184/1000*25/1000)*2)</f>
        <v>1.5962192081286932</v>
      </c>
      <c r="E185" s="11" t="s">
        <v>52</v>
      </c>
      <c r="F185" s="11"/>
      <c r="J185" s="71" t="s">
        <v>223</v>
      </c>
    </row>
    <row r="186" spans="2:11" x14ac:dyDescent="0.25">
      <c r="C186" s="13" t="str">
        <f>"Gas velocity in chimney @ "&amp;D180&amp;"°"</f>
        <v>Gas velocity in chimney @ 350°</v>
      </c>
      <c r="D186" s="20">
        <f>D182/(((D101/100)/2)^2*PI())/10</f>
        <v>2.4049704777954375</v>
      </c>
      <c r="E186" s="15" t="str">
        <f>"m/sec at "&amp;ROUND(D137/1000,1)&amp;" kW"</f>
        <v>m/sec at 29.5 kW</v>
      </c>
      <c r="F186" s="15"/>
      <c r="J186" s="71" t="s">
        <v>223</v>
      </c>
    </row>
    <row r="187" spans="2:11" x14ac:dyDescent="0.25">
      <c r="D187" s="2"/>
      <c r="J187" s="71" t="s">
        <v>223</v>
      </c>
      <c r="K187" s="4" t="s">
        <v>73</v>
      </c>
    </row>
    <row r="188" spans="2:11" x14ac:dyDescent="0.25">
      <c r="B188" s="29" t="s">
        <v>195</v>
      </c>
    </row>
    <row r="189" spans="2:11" x14ac:dyDescent="0.25">
      <c r="B189" s="29" t="s">
        <v>290</v>
      </c>
      <c r="C189" s="6" t="s">
        <v>281</v>
      </c>
      <c r="D189" s="16">
        <f>D42+D48</f>
        <v>91.199999999999989</v>
      </c>
      <c r="E189" s="8" t="s">
        <v>1</v>
      </c>
      <c r="I189" s="35" t="s">
        <v>180</v>
      </c>
    </row>
    <row r="190" spans="2:11" x14ac:dyDescent="0.25">
      <c r="B190" s="29"/>
      <c r="C190" s="9" t="s">
        <v>292</v>
      </c>
      <c r="D190" s="10">
        <f>D53</f>
        <v>1092.5</v>
      </c>
      <c r="E190" s="11" t="s">
        <v>1</v>
      </c>
      <c r="I190" s="35" t="str">
        <f>I53</f>
        <v>L1</v>
      </c>
    </row>
    <row r="191" spans="2:11" x14ac:dyDescent="0.25">
      <c r="B191" s="29"/>
      <c r="C191" s="9" t="s">
        <v>291</v>
      </c>
      <c r="D191" s="10">
        <f>D52</f>
        <v>1092.5</v>
      </c>
      <c r="E191" s="11" t="s">
        <v>1</v>
      </c>
      <c r="I191" s="35" t="str">
        <f>I52</f>
        <v>W3</v>
      </c>
    </row>
    <row r="192" spans="2:11" x14ac:dyDescent="0.25">
      <c r="B192" s="29"/>
      <c r="C192" s="9" t="s">
        <v>293</v>
      </c>
      <c r="D192" s="10">
        <f>D58</f>
        <v>193.36604054762694</v>
      </c>
      <c r="E192" s="11" t="s">
        <v>1</v>
      </c>
      <c r="I192" s="79" t="str">
        <f>I58</f>
        <v>W12</v>
      </c>
    </row>
    <row r="193" spans="2:10" x14ac:dyDescent="0.25">
      <c r="C193" s="9" t="s">
        <v>279</v>
      </c>
      <c r="D193" s="10">
        <f>D190-D194</f>
        <v>449.56697972618656</v>
      </c>
      <c r="E193" s="11" t="s">
        <v>1</v>
      </c>
      <c r="I193" s="35" t="s">
        <v>189</v>
      </c>
    </row>
    <row r="194" spans="2:10" x14ac:dyDescent="0.25">
      <c r="C194" s="9" t="s">
        <v>186</v>
      </c>
      <c r="D194" s="10">
        <f>D53/2+D58/2</f>
        <v>642.93302027381344</v>
      </c>
      <c r="E194" s="11" t="s">
        <v>1</v>
      </c>
      <c r="I194" s="35" t="s">
        <v>190</v>
      </c>
    </row>
    <row r="195" spans="2:10" x14ac:dyDescent="0.25">
      <c r="C195" s="9" t="s">
        <v>187</v>
      </c>
      <c r="D195" s="10">
        <f>D53/2+D58/2+15-D109-D110</f>
        <v>222.93302027381344</v>
      </c>
      <c r="E195" s="11" t="s">
        <v>1</v>
      </c>
      <c r="I195" s="35" t="s">
        <v>191</v>
      </c>
      <c r="J195" t="s">
        <v>280</v>
      </c>
    </row>
    <row r="196" spans="2:10" x14ac:dyDescent="0.25">
      <c r="C196" s="9" t="s">
        <v>188</v>
      </c>
      <c r="D196" s="10">
        <f>D194-D195</f>
        <v>420</v>
      </c>
      <c r="E196" s="11" t="s">
        <v>1</v>
      </c>
      <c r="I196" s="35" t="s">
        <v>192</v>
      </c>
      <c r="J196" t="s">
        <v>280</v>
      </c>
    </row>
    <row r="197" spans="2:10" x14ac:dyDescent="0.25">
      <c r="C197" s="13" t="s">
        <v>193</v>
      </c>
      <c r="D197" s="14">
        <f>(D190-D58)/2</f>
        <v>449.56697972618656</v>
      </c>
      <c r="E197" s="15" t="s">
        <v>1</v>
      </c>
      <c r="I197" s="35" t="s">
        <v>194</v>
      </c>
    </row>
    <row r="199" spans="2:10" x14ac:dyDescent="0.25">
      <c r="B199" s="29" t="s">
        <v>199</v>
      </c>
    </row>
    <row r="200" spans="2:10" x14ac:dyDescent="0.25">
      <c r="B200" s="29" t="s">
        <v>290</v>
      </c>
      <c r="C200" s="6" t="s">
        <v>284</v>
      </c>
      <c r="D200" s="16">
        <f>D189+D39+D48-5</f>
        <v>186.2</v>
      </c>
      <c r="E200" s="8" t="s">
        <v>1</v>
      </c>
      <c r="I200" s="35" t="s">
        <v>176</v>
      </c>
    </row>
    <row r="201" spans="2:10" x14ac:dyDescent="0.25">
      <c r="C201" s="9" t="s">
        <v>295</v>
      </c>
      <c r="D201" s="10">
        <f>D200</f>
        <v>186.2</v>
      </c>
      <c r="E201" s="11" t="s">
        <v>1</v>
      </c>
      <c r="I201" s="35" t="s">
        <v>145</v>
      </c>
    </row>
    <row r="202" spans="2:10" x14ac:dyDescent="0.25">
      <c r="C202" s="9" t="s">
        <v>296</v>
      </c>
      <c r="D202" s="10">
        <f>D65*D38+(D65-1)*D60</f>
        <v>725</v>
      </c>
      <c r="E202" s="11" t="s">
        <v>1</v>
      </c>
      <c r="I202" s="73" t="s">
        <v>196</v>
      </c>
      <c r="J202" t="s">
        <v>280</v>
      </c>
    </row>
    <row r="203" spans="2:10" x14ac:dyDescent="0.25">
      <c r="C203" s="9" t="s">
        <v>294</v>
      </c>
      <c r="D203" s="10">
        <f>D204+2*D41</f>
        <v>595.9</v>
      </c>
      <c r="E203" s="11" t="s">
        <v>1</v>
      </c>
      <c r="I203" s="73" t="s">
        <v>197</v>
      </c>
    </row>
    <row r="204" spans="2:10" x14ac:dyDescent="0.25">
      <c r="C204" s="13" t="s">
        <v>299</v>
      </c>
      <c r="D204" s="14">
        <f>D40+2*D48</f>
        <v>380</v>
      </c>
      <c r="E204" s="15" t="s">
        <v>1</v>
      </c>
      <c r="I204" s="73" t="s">
        <v>198</v>
      </c>
      <c r="J204" t="s">
        <v>280</v>
      </c>
    </row>
    <row r="206" spans="2:10" x14ac:dyDescent="0.25">
      <c r="B206" s="29" t="s">
        <v>200</v>
      </c>
    </row>
    <row r="207" spans="2:10" x14ac:dyDescent="0.25">
      <c r="B207" s="29" t="s">
        <v>290</v>
      </c>
      <c r="C207" s="6" t="s">
        <v>285</v>
      </c>
      <c r="D207" s="16">
        <f>D189+D200</f>
        <v>277.39999999999998</v>
      </c>
      <c r="E207" s="8" t="s">
        <v>1</v>
      </c>
      <c r="I207" s="35" t="s">
        <v>164</v>
      </c>
    </row>
    <row r="208" spans="2:10" x14ac:dyDescent="0.25">
      <c r="C208" s="9" t="s">
        <v>300</v>
      </c>
      <c r="D208" s="10">
        <f>D192+160</f>
        <v>353.36604054762694</v>
      </c>
      <c r="E208" s="11" t="s">
        <v>1</v>
      </c>
      <c r="I208" s="73" t="s">
        <v>201</v>
      </c>
      <c r="J208" t="s">
        <v>303</v>
      </c>
    </row>
    <row r="209" spans="2:9" x14ac:dyDescent="0.25">
      <c r="C209" s="9" t="s">
        <v>301</v>
      </c>
      <c r="D209" s="10">
        <f>D31+D48</f>
        <v>122.94999999999999</v>
      </c>
      <c r="E209" s="11" t="s">
        <v>1</v>
      </c>
      <c r="I209" s="73" t="s">
        <v>202</v>
      </c>
    </row>
    <row r="210" spans="2:9" x14ac:dyDescent="0.25">
      <c r="C210" s="9" t="s">
        <v>306</v>
      </c>
      <c r="D210" s="10">
        <f>D77</f>
        <v>193.36604054762694</v>
      </c>
      <c r="E210" s="11" t="s">
        <v>1</v>
      </c>
      <c r="I210" s="35" t="str">
        <f>I77</f>
        <v>W10</v>
      </c>
    </row>
    <row r="211" spans="2:9" x14ac:dyDescent="0.25">
      <c r="C211" s="13" t="s">
        <v>302</v>
      </c>
      <c r="D211" s="14">
        <f>D194</f>
        <v>642.93302027381344</v>
      </c>
      <c r="E211" s="15" t="s">
        <v>1</v>
      </c>
      <c r="I211" s="73" t="s">
        <v>203</v>
      </c>
    </row>
    <row r="213" spans="2:9" x14ac:dyDescent="0.25">
      <c r="B213" s="29" t="s">
        <v>204</v>
      </c>
    </row>
    <row r="214" spans="2:9" x14ac:dyDescent="0.25">
      <c r="B214" s="29" t="s">
        <v>290</v>
      </c>
      <c r="C214" s="6" t="s">
        <v>304</v>
      </c>
      <c r="D214" s="16">
        <f>D207+D189</f>
        <v>368.59999999999997</v>
      </c>
      <c r="E214" s="8" t="s">
        <v>1</v>
      </c>
      <c r="I214" s="35" t="s">
        <v>159</v>
      </c>
    </row>
    <row r="215" spans="2:9" x14ac:dyDescent="0.25">
      <c r="C215" s="9" t="s">
        <v>308</v>
      </c>
      <c r="D215" s="10">
        <f>D214-D200</f>
        <v>182.39999999999998</v>
      </c>
      <c r="E215" s="11" t="s">
        <v>1</v>
      </c>
    </row>
    <row r="216" spans="2:9" x14ac:dyDescent="0.25">
      <c r="C216" s="13" t="s">
        <v>300</v>
      </c>
      <c r="D216" s="14">
        <f>D208</f>
        <v>353.36604054762694</v>
      </c>
      <c r="E216" s="15" t="s">
        <v>1</v>
      </c>
      <c r="I216" s="73" t="s">
        <v>142</v>
      </c>
    </row>
    <row r="218" spans="2:9" x14ac:dyDescent="0.25">
      <c r="B218" s="29" t="s">
        <v>205</v>
      </c>
    </row>
    <row r="219" spans="2:9" x14ac:dyDescent="0.25">
      <c r="B219" s="29" t="s">
        <v>290</v>
      </c>
      <c r="C219" s="6" t="s">
        <v>307</v>
      </c>
      <c r="D219" s="16">
        <f>D214+D189</f>
        <v>459.79999999999995</v>
      </c>
      <c r="E219" s="8" t="s">
        <v>1</v>
      </c>
      <c r="I219" s="73" t="s">
        <v>142</v>
      </c>
    </row>
    <row r="220" spans="2:9" x14ac:dyDescent="0.25">
      <c r="B220" s="29"/>
      <c r="C220" s="9" t="s">
        <v>300</v>
      </c>
      <c r="D220" s="10">
        <f>D216-148</f>
        <v>205.36604054762694</v>
      </c>
      <c r="E220" s="11" t="s">
        <v>1</v>
      </c>
      <c r="I220" s="73" t="s">
        <v>142</v>
      </c>
    </row>
    <row r="221" spans="2:9" x14ac:dyDescent="0.25">
      <c r="B221" s="29"/>
      <c r="C221" s="9" t="str">
        <f>C204</f>
        <v>Width to accommodate U-channels</v>
      </c>
      <c r="D221" s="39">
        <f>D204</f>
        <v>380</v>
      </c>
      <c r="E221" s="11" t="s">
        <v>1</v>
      </c>
      <c r="I221" s="73" t="s">
        <v>142</v>
      </c>
    </row>
    <row r="222" spans="2:9" x14ac:dyDescent="0.25">
      <c r="B222" s="29"/>
      <c r="C222" s="9" t="s">
        <v>310</v>
      </c>
      <c r="D222" s="39">
        <f>D67</f>
        <v>449.5669797261865</v>
      </c>
      <c r="E222" s="11" t="s">
        <v>1</v>
      </c>
    </row>
    <row r="223" spans="2:9" x14ac:dyDescent="0.25">
      <c r="B223" s="29"/>
      <c r="C223" s="9" t="s">
        <v>319</v>
      </c>
      <c r="D223" s="39">
        <f>D215+3</f>
        <v>185.39999999999998</v>
      </c>
      <c r="E223" s="11" t="s">
        <v>1</v>
      </c>
    </row>
    <row r="224" spans="2:9" x14ac:dyDescent="0.25">
      <c r="B224" s="29"/>
      <c r="C224" s="9" t="s">
        <v>253</v>
      </c>
      <c r="D224" s="39">
        <f>D211-D222</f>
        <v>193.36604054762694</v>
      </c>
      <c r="E224" s="11" t="s">
        <v>1</v>
      </c>
    </row>
    <row r="225" spans="2:5" x14ac:dyDescent="0.25">
      <c r="B225" s="29"/>
      <c r="C225" s="13" t="s">
        <v>318</v>
      </c>
      <c r="D225" s="41">
        <f>D210</f>
        <v>193.36604054762694</v>
      </c>
      <c r="E225" s="15" t="s">
        <v>1</v>
      </c>
    </row>
    <row r="226" spans="2:5" x14ac:dyDescent="0.25">
      <c r="B226" s="29"/>
      <c r="D226" s="63"/>
    </row>
    <row r="227" spans="2:5" x14ac:dyDescent="0.25">
      <c r="B227" s="29" t="s">
        <v>305</v>
      </c>
    </row>
    <row r="228" spans="2:5" x14ac:dyDescent="0.25">
      <c r="B228" s="29" t="s">
        <v>290</v>
      </c>
      <c r="C228" s="6" t="s">
        <v>320</v>
      </c>
      <c r="D228" s="16">
        <f>D219+D189</f>
        <v>551</v>
      </c>
      <c r="E228" s="8" t="s">
        <v>1</v>
      </c>
    </row>
    <row r="229" spans="2:5" x14ac:dyDescent="0.25">
      <c r="C229" s="9" t="s">
        <v>321</v>
      </c>
      <c r="D229" s="10">
        <f>D228</f>
        <v>551</v>
      </c>
      <c r="E229" s="11" t="s">
        <v>1</v>
      </c>
    </row>
    <row r="230" spans="2:5" x14ac:dyDescent="0.25">
      <c r="C230" s="9" t="s">
        <v>344</v>
      </c>
      <c r="D230" s="39"/>
      <c r="E230" s="11"/>
    </row>
    <row r="231" spans="2:5" x14ac:dyDescent="0.25">
      <c r="C231" s="9" t="s">
        <v>332</v>
      </c>
      <c r="D231" s="39">
        <f>D232+2*D41+2*D48</f>
        <v>439.26604054762691</v>
      </c>
      <c r="E231" s="11" t="s">
        <v>1</v>
      </c>
    </row>
    <row r="232" spans="2:5" x14ac:dyDescent="0.25">
      <c r="C232" s="9" t="s">
        <v>253</v>
      </c>
      <c r="D232" s="39">
        <f>D224</f>
        <v>193.36604054762694</v>
      </c>
      <c r="E232" s="11" t="s">
        <v>1</v>
      </c>
    </row>
    <row r="233" spans="2:5" x14ac:dyDescent="0.25">
      <c r="C233" s="9" t="s">
        <v>322</v>
      </c>
      <c r="D233" s="39">
        <f>D228-D200</f>
        <v>364.8</v>
      </c>
      <c r="E233" s="11" t="s">
        <v>1</v>
      </c>
    </row>
    <row r="234" spans="2:5" x14ac:dyDescent="0.25">
      <c r="C234" s="13" t="s">
        <v>323</v>
      </c>
      <c r="D234" s="41">
        <f>D233-D223+D41-D42</f>
        <v>211.15000000000003</v>
      </c>
      <c r="E234" s="15" t="s">
        <v>1</v>
      </c>
    </row>
    <row r="236" spans="2:5" x14ac:dyDescent="0.25">
      <c r="B236" s="29" t="s">
        <v>324</v>
      </c>
    </row>
    <row r="237" spans="2:5" x14ac:dyDescent="0.25">
      <c r="B237" s="29" t="s">
        <v>290</v>
      </c>
      <c r="C237" s="6" t="s">
        <v>325</v>
      </c>
      <c r="D237" s="16">
        <f>D228+D189</f>
        <v>642.20000000000005</v>
      </c>
      <c r="E237" s="8" t="s">
        <v>1</v>
      </c>
    </row>
    <row r="238" spans="2:5" x14ac:dyDescent="0.25">
      <c r="C238" s="9" t="s">
        <v>326</v>
      </c>
      <c r="D238" s="10">
        <f>D237+(D229-D228)</f>
        <v>642.20000000000005</v>
      </c>
      <c r="E238" s="11" t="s">
        <v>1</v>
      </c>
    </row>
    <row r="239" spans="2:5" x14ac:dyDescent="0.25">
      <c r="C239" s="9" t="s">
        <v>327</v>
      </c>
      <c r="D239" s="39">
        <f>D14+2*D84</f>
        <v>664</v>
      </c>
      <c r="E239" s="11" t="s">
        <v>1</v>
      </c>
    </row>
    <row r="240" spans="2:5" x14ac:dyDescent="0.25">
      <c r="C240" s="9" t="s">
        <v>328</v>
      </c>
      <c r="D240" s="39">
        <f>(D34*1.08)*2+D239</f>
        <v>861.20799999999997</v>
      </c>
      <c r="E240" s="11" t="s">
        <v>1</v>
      </c>
    </row>
    <row r="241" spans="2:5" x14ac:dyDescent="0.25">
      <c r="C241" s="13" t="s">
        <v>331</v>
      </c>
      <c r="D241" s="41">
        <f>D87-(2*D31)</f>
        <v>876.6</v>
      </c>
      <c r="E241" s="15" t="s">
        <v>1</v>
      </c>
    </row>
    <row r="243" spans="2:5" x14ac:dyDescent="0.25">
      <c r="B243" s="29" t="s">
        <v>380</v>
      </c>
    </row>
    <row r="244" spans="2:5" x14ac:dyDescent="0.25">
      <c r="B244" s="29" t="s">
        <v>290</v>
      </c>
      <c r="C244" s="6" t="s">
        <v>381</v>
      </c>
      <c r="D244" s="16">
        <f>D237+3*(D189)</f>
        <v>915.8</v>
      </c>
      <c r="E244" s="8" t="s">
        <v>1</v>
      </c>
    </row>
    <row r="245" spans="2:5" x14ac:dyDescent="0.25">
      <c r="C245" s="9" t="s">
        <v>345</v>
      </c>
      <c r="D245" s="10">
        <f>D244+D47</f>
        <v>918.8</v>
      </c>
      <c r="E245" s="11" t="s">
        <v>1</v>
      </c>
    </row>
    <row r="246" spans="2:5" x14ac:dyDescent="0.25">
      <c r="C246" s="9" t="s">
        <v>346</v>
      </c>
      <c r="D246" s="10">
        <f>D247+D24-4</f>
        <v>952.8</v>
      </c>
      <c r="E246" s="11" t="s">
        <v>1</v>
      </c>
    </row>
    <row r="247" spans="2:5" x14ac:dyDescent="0.25">
      <c r="C247" s="13" t="s">
        <v>347</v>
      </c>
      <c r="D247" s="14">
        <f>D237+3*(D189-3)</f>
        <v>906.8</v>
      </c>
      <c r="E247" s="15" t="s">
        <v>1</v>
      </c>
    </row>
  </sheetData>
  <conditionalFormatting sqref="L64">
    <cfRule type="cellIs" dxfId="6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EA702-F3DC-4CB1-A4B5-61622F436E76}">
  <dimension ref="A2:O250"/>
  <sheetViews>
    <sheetView zoomScale="130" zoomScaleNormal="130" workbookViewId="0">
      <selection activeCell="C37" sqref="C37"/>
    </sheetView>
  </sheetViews>
  <sheetFormatPr defaultRowHeight="15" x14ac:dyDescent="0.25"/>
  <cols>
    <col min="1" max="1" width="6" customWidth="1"/>
    <col min="2" max="2" width="30" customWidth="1"/>
    <col min="3" max="3" width="35.42578125" customWidth="1"/>
    <col min="4" max="4" width="19.42578125" style="4" bestFit="1" customWidth="1"/>
    <col min="5" max="5" width="17" customWidth="1"/>
    <col min="6" max="6" width="11" hidden="1" customWidth="1"/>
    <col min="7" max="7" width="9.140625" hidden="1" customWidth="1"/>
    <col min="8" max="8" width="56.28515625" hidden="1" customWidth="1"/>
    <col min="9" max="9" width="8" style="35" customWidth="1"/>
    <col min="10" max="10" width="9.140625" customWidth="1"/>
    <col min="11" max="11" width="7.5703125" customWidth="1"/>
    <col min="12" max="12" width="10.7109375" customWidth="1"/>
    <col min="13" max="13" width="29.28515625" style="4" customWidth="1"/>
  </cols>
  <sheetData>
    <row r="2" spans="2:11" ht="18.75" x14ac:dyDescent="0.3">
      <c r="B2" s="1" t="str">
        <f>ROUNDDOWN(D10/50,0)*50&amp;" Litre MEMD Stove"</f>
        <v>150 Litre MEMD Stove</v>
      </c>
      <c r="C2" s="64" t="s">
        <v>217</v>
      </c>
      <c r="D2" s="35"/>
    </row>
    <row r="3" spans="2:11" ht="18.75" x14ac:dyDescent="0.3">
      <c r="B3" s="1"/>
      <c r="D3" s="35"/>
    </row>
    <row r="4" spans="2:11" x14ac:dyDescent="0.25">
      <c r="C4" t="s">
        <v>0</v>
      </c>
      <c r="D4" s="36">
        <v>45621</v>
      </c>
      <c r="E4" t="str">
        <f>Dimensions!F2</f>
        <v>Version 1.4</v>
      </c>
    </row>
    <row r="5" spans="2:11" x14ac:dyDescent="0.25">
      <c r="B5" s="69" t="s">
        <v>219</v>
      </c>
    </row>
    <row r="7" spans="2:11" x14ac:dyDescent="0.25">
      <c r="B7" s="29" t="s">
        <v>212</v>
      </c>
      <c r="D7"/>
      <c r="I7" s="35" t="s">
        <v>218</v>
      </c>
    </row>
    <row r="8" spans="2:11" x14ac:dyDescent="0.25">
      <c r="C8" s="6" t="s">
        <v>108</v>
      </c>
      <c r="D8" s="7">
        <v>665</v>
      </c>
      <c r="E8" s="8" t="s">
        <v>1</v>
      </c>
      <c r="I8" s="35" t="s">
        <v>131</v>
      </c>
      <c r="J8" s="71" t="s">
        <v>223</v>
      </c>
    </row>
    <row r="9" spans="2:11" x14ac:dyDescent="0.25">
      <c r="C9" s="9" t="s">
        <v>348</v>
      </c>
      <c r="D9" s="57">
        <f>D8*0.7</f>
        <v>465.49999999999994</v>
      </c>
      <c r="E9" s="11" t="s">
        <v>1</v>
      </c>
      <c r="I9" s="35" t="s">
        <v>132</v>
      </c>
      <c r="J9" s="71" t="s">
        <v>223</v>
      </c>
      <c r="K9" t="s">
        <v>359</v>
      </c>
    </row>
    <row r="10" spans="2:11" x14ac:dyDescent="0.25">
      <c r="C10" s="9" t="s">
        <v>89</v>
      </c>
      <c r="D10" s="10">
        <f>(D8/200)^2*PI()*D9/100</f>
        <v>161.67871815732721</v>
      </c>
      <c r="E10" s="11" t="s">
        <v>3</v>
      </c>
      <c r="I10" s="35" t="s">
        <v>170</v>
      </c>
      <c r="J10" s="71" t="s">
        <v>223</v>
      </c>
      <c r="K10" s="81">
        <f>D10/150-1</f>
        <v>7.7858121048848039E-2</v>
      </c>
    </row>
    <row r="11" spans="2:11" x14ac:dyDescent="0.25">
      <c r="C11" s="9" t="s">
        <v>105</v>
      </c>
      <c r="D11" s="18">
        <v>2</v>
      </c>
      <c r="E11" s="11" t="s">
        <v>1</v>
      </c>
      <c r="I11" s="35" t="s">
        <v>134</v>
      </c>
      <c r="J11" s="71" t="s">
        <v>223</v>
      </c>
    </row>
    <row r="12" spans="2:11" x14ac:dyDescent="0.25">
      <c r="C12" s="9" t="s">
        <v>106</v>
      </c>
      <c r="D12" s="18">
        <v>3</v>
      </c>
      <c r="E12" s="11" t="s">
        <v>1</v>
      </c>
      <c r="I12" s="35" t="s">
        <v>135</v>
      </c>
      <c r="J12" s="71" t="s">
        <v>223</v>
      </c>
    </row>
    <row r="13" spans="2:11" x14ac:dyDescent="0.25">
      <c r="C13" s="9" t="s">
        <v>224</v>
      </c>
      <c r="D13" s="18">
        <v>40</v>
      </c>
      <c r="E13" s="11" t="s">
        <v>1</v>
      </c>
      <c r="I13" s="35" t="s">
        <v>136</v>
      </c>
      <c r="J13" s="71" t="s">
        <v>223</v>
      </c>
    </row>
    <row r="14" spans="2:11" x14ac:dyDescent="0.25">
      <c r="C14" s="9" t="s">
        <v>107</v>
      </c>
      <c r="D14" s="10">
        <f>D8+2*D11</f>
        <v>669</v>
      </c>
      <c r="E14" s="11" t="s">
        <v>1</v>
      </c>
      <c r="J14" s="71"/>
    </row>
    <row r="15" spans="2:11" x14ac:dyDescent="0.25">
      <c r="C15" s="9" t="s">
        <v>229</v>
      </c>
      <c r="D15" s="10">
        <f>(D9+D12)*0.25</f>
        <v>117.12499999999999</v>
      </c>
      <c r="E15" s="11" t="s">
        <v>1</v>
      </c>
      <c r="I15" s="35" t="s">
        <v>151</v>
      </c>
      <c r="J15" s="71" t="s">
        <v>223</v>
      </c>
      <c r="K15" t="s">
        <v>236</v>
      </c>
    </row>
    <row r="16" spans="2:11" x14ac:dyDescent="0.25">
      <c r="C16" s="9" t="s">
        <v>234</v>
      </c>
      <c r="D16" s="10">
        <f>D8+2*D11</f>
        <v>669</v>
      </c>
      <c r="E16" s="11" t="s">
        <v>1</v>
      </c>
      <c r="I16" s="35" t="s">
        <v>133</v>
      </c>
      <c r="J16" s="71" t="s">
        <v>223</v>
      </c>
    </row>
    <row r="17" spans="2:10" x14ac:dyDescent="0.25">
      <c r="C17" s="9" t="s">
        <v>222</v>
      </c>
      <c r="D17" s="10">
        <f>D13*2+D16</f>
        <v>749</v>
      </c>
      <c r="E17" s="11" t="s">
        <v>1</v>
      </c>
      <c r="I17" s="35" t="s">
        <v>148</v>
      </c>
      <c r="J17" s="71" t="s">
        <v>223</v>
      </c>
    </row>
    <row r="18" spans="2:10" x14ac:dyDescent="0.25">
      <c r="C18" s="9" t="s">
        <v>183</v>
      </c>
      <c r="D18" s="10">
        <f>D9+D12</f>
        <v>468.49999999999994</v>
      </c>
      <c r="E18" s="11" t="s">
        <v>1</v>
      </c>
      <c r="I18" s="35" t="s">
        <v>184</v>
      </c>
      <c r="J18" s="71" t="s">
        <v>223</v>
      </c>
    </row>
    <row r="19" spans="2:10" x14ac:dyDescent="0.25">
      <c r="C19" s="60"/>
      <c r="D19" s="16"/>
      <c r="E19" s="60"/>
    </row>
    <row r="20" spans="2:10" x14ac:dyDescent="0.25">
      <c r="B20" s="29" t="s">
        <v>231</v>
      </c>
      <c r="D20" s="10"/>
    </row>
    <row r="21" spans="2:10" x14ac:dyDescent="0.25">
      <c r="C21" s="6" t="s">
        <v>230</v>
      </c>
      <c r="D21" s="40">
        <f>D16+2*D25</f>
        <v>680.97</v>
      </c>
      <c r="E21" s="8" t="s">
        <v>1</v>
      </c>
      <c r="I21" s="35" t="s">
        <v>147</v>
      </c>
      <c r="J21" s="71" t="s">
        <v>223</v>
      </c>
    </row>
    <row r="22" spans="2:10" x14ac:dyDescent="0.25">
      <c r="C22" s="9" t="s">
        <v>225</v>
      </c>
      <c r="D22" s="12">
        <v>5</v>
      </c>
      <c r="E22" s="11" t="s">
        <v>1</v>
      </c>
      <c r="I22" s="35" t="s">
        <v>139</v>
      </c>
      <c r="J22" s="71" t="s">
        <v>223</v>
      </c>
    </row>
    <row r="23" spans="2:10" x14ac:dyDescent="0.25">
      <c r="C23" s="9" t="s">
        <v>226</v>
      </c>
      <c r="D23" s="63">
        <f>D21+2*D22</f>
        <v>690.97</v>
      </c>
      <c r="E23" s="11" t="s">
        <v>1</v>
      </c>
      <c r="I23" s="35" t="s">
        <v>211</v>
      </c>
      <c r="J23" s="71" t="s">
        <v>223</v>
      </c>
    </row>
    <row r="24" spans="2:10" x14ac:dyDescent="0.25">
      <c r="C24" s="9" t="s">
        <v>227</v>
      </c>
      <c r="D24" s="12">
        <v>50</v>
      </c>
      <c r="E24" s="11" t="s">
        <v>1</v>
      </c>
      <c r="I24" s="35" t="s">
        <v>152</v>
      </c>
      <c r="J24" s="71" t="s">
        <v>223</v>
      </c>
    </row>
    <row r="25" spans="2:10" x14ac:dyDescent="0.25">
      <c r="C25" s="9" t="s">
        <v>228</v>
      </c>
      <c r="D25" s="74">
        <f>D8*0.009</f>
        <v>5.9849999999999994</v>
      </c>
      <c r="E25" s="11" t="s">
        <v>1</v>
      </c>
      <c r="I25" s="35" t="s">
        <v>137</v>
      </c>
      <c r="J25" s="71" t="s">
        <v>223</v>
      </c>
    </row>
    <row r="26" spans="2:10" x14ac:dyDescent="0.25">
      <c r="C26" s="9" t="s">
        <v>232</v>
      </c>
      <c r="D26" s="74">
        <f>(D21+2*D22/3)*PI()</f>
        <v>2149.8023248270074</v>
      </c>
      <c r="E26" s="11" t="s">
        <v>1</v>
      </c>
      <c r="J26" s="71" t="s">
        <v>223</v>
      </c>
    </row>
    <row r="27" spans="2:10" x14ac:dyDescent="0.25">
      <c r="C27" s="9" t="s">
        <v>350</v>
      </c>
      <c r="D27" s="74">
        <f>D23*0.3</f>
        <v>207.291</v>
      </c>
      <c r="E27" s="11" t="s">
        <v>1</v>
      </c>
      <c r="J27" s="71"/>
    </row>
    <row r="28" spans="2:10" x14ac:dyDescent="0.25">
      <c r="C28" s="13" t="s">
        <v>335</v>
      </c>
      <c r="D28" s="77">
        <v>6</v>
      </c>
      <c r="E28" s="15" t="s">
        <v>1</v>
      </c>
      <c r="J28" s="71"/>
    </row>
    <row r="29" spans="2:10" x14ac:dyDescent="0.25">
      <c r="D29" s="21"/>
    </row>
    <row r="30" spans="2:10" x14ac:dyDescent="0.25">
      <c r="B30" s="29" t="s">
        <v>258</v>
      </c>
      <c r="D30"/>
    </row>
    <row r="31" spans="2:10" x14ac:dyDescent="0.25">
      <c r="B31" s="29"/>
      <c r="C31" s="6" t="s">
        <v>257</v>
      </c>
      <c r="D31" s="7">
        <f>25.4*4.25</f>
        <v>107.94999999999999</v>
      </c>
      <c r="E31" s="8" t="s">
        <v>1</v>
      </c>
      <c r="I31" s="35" t="s">
        <v>214</v>
      </c>
      <c r="J31" s="71" t="s">
        <v>223</v>
      </c>
    </row>
    <row r="32" spans="2:10" x14ac:dyDescent="0.25">
      <c r="B32" s="29"/>
      <c r="C32" s="9" t="s">
        <v>329</v>
      </c>
      <c r="D32" s="12">
        <f>25.4*3</f>
        <v>76.199999999999989</v>
      </c>
      <c r="E32" s="11" t="s">
        <v>1</v>
      </c>
      <c r="I32" s="35" t="s">
        <v>215</v>
      </c>
      <c r="J32" s="71" t="s">
        <v>223</v>
      </c>
    </row>
    <row r="33" spans="2:10" x14ac:dyDescent="0.25">
      <c r="B33" s="29"/>
      <c r="C33" s="9" t="s">
        <v>330</v>
      </c>
      <c r="D33" s="12">
        <f>25.4*9</f>
        <v>228.6</v>
      </c>
      <c r="E33" s="11" t="s">
        <v>1</v>
      </c>
      <c r="J33" s="71" t="s">
        <v>223</v>
      </c>
    </row>
    <row r="34" spans="2:10" x14ac:dyDescent="0.25">
      <c r="B34" s="29"/>
      <c r="C34" s="9" t="s">
        <v>259</v>
      </c>
      <c r="D34" s="12">
        <v>91.3</v>
      </c>
      <c r="E34" s="11" t="s">
        <v>1</v>
      </c>
      <c r="J34" s="71"/>
    </row>
    <row r="35" spans="2:10" x14ac:dyDescent="0.25">
      <c r="B35" s="29"/>
      <c r="C35" s="9" t="s">
        <v>260</v>
      </c>
      <c r="D35" s="12">
        <v>76.2</v>
      </c>
      <c r="E35" s="11" t="s">
        <v>1</v>
      </c>
      <c r="J35" s="71"/>
    </row>
    <row r="36" spans="2:10" x14ac:dyDescent="0.25">
      <c r="B36" s="29"/>
      <c r="C36" s="9" t="s">
        <v>261</v>
      </c>
      <c r="D36" s="12">
        <v>250.1</v>
      </c>
      <c r="E36" s="11" t="s">
        <v>1</v>
      </c>
      <c r="J36" s="71"/>
    </row>
    <row r="37" spans="2:10" x14ac:dyDescent="0.25">
      <c r="B37" s="29"/>
      <c r="C37" s="9"/>
      <c r="D37" s="12"/>
      <c r="E37" s="11"/>
      <c r="J37" s="71"/>
    </row>
    <row r="38" spans="2:10" x14ac:dyDescent="0.25">
      <c r="B38" s="29"/>
      <c r="C38" s="9" t="s">
        <v>267</v>
      </c>
      <c r="D38" s="12">
        <v>133</v>
      </c>
      <c r="E38" s="11" t="s">
        <v>1</v>
      </c>
      <c r="J38" s="71"/>
    </row>
    <row r="39" spans="2:10" x14ac:dyDescent="0.25">
      <c r="B39" s="29"/>
      <c r="C39" s="9" t="s">
        <v>268</v>
      </c>
      <c r="D39" s="12">
        <v>85</v>
      </c>
      <c r="E39" s="11" t="s">
        <v>1</v>
      </c>
      <c r="J39" s="71"/>
    </row>
    <row r="40" spans="2:10" x14ac:dyDescent="0.25">
      <c r="B40" s="29" t="s">
        <v>104</v>
      </c>
      <c r="C40" s="9" t="s">
        <v>269</v>
      </c>
      <c r="D40" s="12">
        <v>350</v>
      </c>
      <c r="E40" s="11" t="s">
        <v>1</v>
      </c>
      <c r="J40" s="71"/>
    </row>
    <row r="41" spans="2:10" x14ac:dyDescent="0.25">
      <c r="B41" s="29"/>
      <c r="C41" s="9" t="s">
        <v>270</v>
      </c>
      <c r="D41" s="12">
        <f>4.25*25.4</f>
        <v>107.94999999999999</v>
      </c>
      <c r="E41" s="11" t="s">
        <v>1</v>
      </c>
      <c r="J41" s="71"/>
    </row>
    <row r="42" spans="2:10" x14ac:dyDescent="0.25">
      <c r="B42" s="29"/>
      <c r="C42" s="9" t="s">
        <v>271</v>
      </c>
      <c r="D42" s="12">
        <f>3*25.4</f>
        <v>76.199999999999989</v>
      </c>
      <c r="E42" s="11" t="s">
        <v>1</v>
      </c>
      <c r="J42" s="71"/>
    </row>
    <row r="43" spans="2:10" x14ac:dyDescent="0.25">
      <c r="B43" s="29"/>
      <c r="C43" s="9" t="s">
        <v>272</v>
      </c>
      <c r="D43" s="12">
        <f>9*25.4</f>
        <v>228.6</v>
      </c>
      <c r="E43" s="11" t="s">
        <v>1</v>
      </c>
      <c r="J43" s="71"/>
    </row>
    <row r="44" spans="2:10" x14ac:dyDescent="0.25">
      <c r="B44" s="29"/>
      <c r="C44" s="9" t="s">
        <v>262</v>
      </c>
      <c r="D44" s="12">
        <f>4.25*25.4</f>
        <v>107.94999999999999</v>
      </c>
      <c r="E44" s="11" t="s">
        <v>1</v>
      </c>
      <c r="J44" s="71"/>
    </row>
    <row r="45" spans="2:10" x14ac:dyDescent="0.25">
      <c r="B45" s="29"/>
      <c r="C45" s="9" t="s">
        <v>264</v>
      </c>
      <c r="D45" s="12">
        <f>3*25.4</f>
        <v>76.199999999999989</v>
      </c>
      <c r="E45" s="11" t="s">
        <v>1</v>
      </c>
      <c r="J45" s="71"/>
    </row>
    <row r="46" spans="2:10" x14ac:dyDescent="0.25">
      <c r="B46" s="29"/>
      <c r="C46" s="9" t="s">
        <v>263</v>
      </c>
      <c r="D46" s="12">
        <f>9*25.4</f>
        <v>228.6</v>
      </c>
      <c r="E46" s="11" t="s">
        <v>1</v>
      </c>
      <c r="J46" s="71"/>
    </row>
    <row r="47" spans="2:10" x14ac:dyDescent="0.25">
      <c r="B47" s="29"/>
      <c r="C47" s="9" t="s">
        <v>373</v>
      </c>
      <c r="D47" s="12">
        <v>3</v>
      </c>
      <c r="E47" s="11" t="s">
        <v>1</v>
      </c>
      <c r="J47" s="71"/>
    </row>
    <row r="48" spans="2:10" x14ac:dyDescent="0.25">
      <c r="B48" s="29"/>
      <c r="C48" s="13" t="s">
        <v>282</v>
      </c>
      <c r="D48" s="77">
        <v>15</v>
      </c>
      <c r="E48" s="15" t="s">
        <v>283</v>
      </c>
      <c r="J48" s="71"/>
    </row>
    <row r="49" spans="2:15" x14ac:dyDescent="0.25">
      <c r="B49" s="29"/>
      <c r="D49"/>
      <c r="J49" s="71"/>
    </row>
    <row r="50" spans="2:15" x14ac:dyDescent="0.25">
      <c r="B50" s="29" t="s">
        <v>367</v>
      </c>
      <c r="D50"/>
      <c r="J50" s="71"/>
    </row>
    <row r="51" spans="2:15" x14ac:dyDescent="0.25">
      <c r="C51" s="6" t="s">
        <v>372</v>
      </c>
      <c r="D51" s="45">
        <f>D98+D79+D81+D57+D39+D47</f>
        <v>948.59903297713663</v>
      </c>
      <c r="E51" s="8" t="s">
        <v>1</v>
      </c>
      <c r="I51" s="35" t="s">
        <v>153</v>
      </c>
    </row>
    <row r="52" spans="2:15" x14ac:dyDescent="0.25">
      <c r="C52" s="9" t="s">
        <v>376</v>
      </c>
      <c r="D52" s="43">
        <f>D85+(D31*2)+(D34)*2+D48*2</f>
        <v>1177.5</v>
      </c>
      <c r="E52" s="11" t="s">
        <v>1</v>
      </c>
      <c r="I52" s="35" t="s">
        <v>140</v>
      </c>
      <c r="J52" s="71" t="s">
        <v>223</v>
      </c>
    </row>
    <row r="53" spans="2:15" x14ac:dyDescent="0.25">
      <c r="C53" s="9" t="s">
        <v>377</v>
      </c>
      <c r="D53" s="43">
        <f>D85+(D31*2)+(D34)*2+D48*2</f>
        <v>1177.5</v>
      </c>
      <c r="E53" s="11" t="s">
        <v>1</v>
      </c>
      <c r="I53" s="35" t="s">
        <v>160</v>
      </c>
      <c r="J53" s="71" t="s">
        <v>223</v>
      </c>
    </row>
    <row r="54" spans="2:15" x14ac:dyDescent="0.25">
      <c r="C54" s="13" t="s">
        <v>265</v>
      </c>
      <c r="D54" s="41">
        <f>D57</f>
        <v>106.19999999999999</v>
      </c>
      <c r="E54" s="15" t="s">
        <v>1</v>
      </c>
      <c r="I54" s="35" t="s">
        <v>237</v>
      </c>
    </row>
    <row r="55" spans="2:15" x14ac:dyDescent="0.25">
      <c r="D55" s="39"/>
    </row>
    <row r="56" spans="2:15" x14ac:dyDescent="0.25">
      <c r="B56" s="29" t="s">
        <v>255</v>
      </c>
      <c r="H56" s="26"/>
    </row>
    <row r="57" spans="2:15" x14ac:dyDescent="0.25">
      <c r="C57" s="6" t="s">
        <v>256</v>
      </c>
      <c r="D57" s="45">
        <f>IF(D77/2.6 &lt;D42+2*D48, D42+2*D48,D77/2.6)</f>
        <v>106.19999999999999</v>
      </c>
      <c r="E57" s="8" t="s">
        <v>1</v>
      </c>
      <c r="H57" s="26"/>
      <c r="I57" s="35" t="s">
        <v>180</v>
      </c>
      <c r="J57" s="71" t="s">
        <v>223</v>
      </c>
    </row>
    <row r="58" spans="2:15" x14ac:dyDescent="0.25">
      <c r="C58" s="9" t="s">
        <v>238</v>
      </c>
      <c r="D58" s="39">
        <f>D80</f>
        <v>223.85207738160048</v>
      </c>
      <c r="E58" s="11" t="s">
        <v>1</v>
      </c>
      <c r="H58" s="26"/>
      <c r="I58" s="35" t="s">
        <v>171</v>
      </c>
      <c r="J58" s="71" t="s">
        <v>223</v>
      </c>
    </row>
    <row r="59" spans="2:15" x14ac:dyDescent="0.25">
      <c r="C59" s="9" t="s">
        <v>286</v>
      </c>
      <c r="D59" s="10">
        <f>(D53-D80)/2+D80</f>
        <v>700.67603869080028</v>
      </c>
      <c r="E59" s="11" t="s">
        <v>1</v>
      </c>
      <c r="H59" s="26"/>
      <c r="I59" s="73" t="s">
        <v>149</v>
      </c>
      <c r="J59" s="78" t="s">
        <v>287</v>
      </c>
      <c r="K59" s="72" t="s">
        <v>288</v>
      </c>
    </row>
    <row r="60" spans="2:15" x14ac:dyDescent="0.25">
      <c r="C60" s="9" t="s">
        <v>337</v>
      </c>
      <c r="D60" s="12">
        <v>15</v>
      </c>
      <c r="E60" s="11" t="s">
        <v>1</v>
      </c>
      <c r="H60" s="26"/>
      <c r="I60" s="35" t="s">
        <v>169</v>
      </c>
      <c r="J60" s="71"/>
    </row>
    <row r="61" spans="2:15" x14ac:dyDescent="0.25">
      <c r="C61" s="13" t="s">
        <v>338</v>
      </c>
      <c r="D61" s="14">
        <f>D40+24</f>
        <v>374</v>
      </c>
      <c r="E61" s="15" t="s">
        <v>1</v>
      </c>
      <c r="H61" s="26"/>
      <c r="I61" s="35" t="s">
        <v>172</v>
      </c>
      <c r="J61" s="71" t="s">
        <v>223</v>
      </c>
    </row>
    <row r="62" spans="2:15" x14ac:dyDescent="0.25">
      <c r="D62" s="10"/>
      <c r="H62" s="26"/>
    </row>
    <row r="63" spans="2:15" x14ac:dyDescent="0.25">
      <c r="B63" s="29" t="s">
        <v>315</v>
      </c>
      <c r="D63" s="10"/>
      <c r="H63" s="26"/>
      <c r="J63" s="6" t="s">
        <v>361</v>
      </c>
      <c r="K63" s="60" t="s">
        <v>363</v>
      </c>
      <c r="L63" s="60" t="s">
        <v>374</v>
      </c>
      <c r="M63" s="16" t="s">
        <v>364</v>
      </c>
      <c r="N63" s="60"/>
      <c r="O63" s="8"/>
    </row>
    <row r="64" spans="2:15" x14ac:dyDescent="0.25">
      <c r="B64" s="29"/>
      <c r="C64" s="6" t="s">
        <v>336</v>
      </c>
      <c r="D64" s="16">
        <f>ROUNDDOWN((D67-D31-D48)/D38,1)</f>
        <v>2.6</v>
      </c>
      <c r="E64" s="8"/>
      <c r="H64" s="26"/>
      <c r="J64" s="32">
        <f>D64*D38</f>
        <v>345.8</v>
      </c>
      <c r="K64" s="39">
        <f>D67</f>
        <v>476.82396130919983</v>
      </c>
      <c r="L64" s="39">
        <f>-(J64-K64)-D31-D48</f>
        <v>8.0739613091998308</v>
      </c>
      <c r="M64" s="10" t="str">
        <f>IF(L64&gt;0,"Spare","Interference")</f>
        <v>Spare</v>
      </c>
      <c r="O64" s="11"/>
    </row>
    <row r="65" spans="1:15" x14ac:dyDescent="0.25">
      <c r="B65" s="29"/>
      <c r="C65" s="9" t="s">
        <v>358</v>
      </c>
      <c r="D65" s="10">
        <f>ROUNDUP(D194/(D38+D60),0)</f>
        <v>5</v>
      </c>
      <c r="E65" s="11"/>
      <c r="H65" s="26"/>
      <c r="J65" s="34">
        <f>D65*(D38+D60)-D60</f>
        <v>725</v>
      </c>
      <c r="K65" s="41">
        <f>D66</f>
        <v>700.67603869080028</v>
      </c>
      <c r="L65" s="41">
        <f>J65-K65</f>
        <v>24.323961309199717</v>
      </c>
      <c r="M65" s="61" t="s">
        <v>360</v>
      </c>
      <c r="N65" s="61"/>
      <c r="O65" s="15"/>
    </row>
    <row r="66" spans="1:15" x14ac:dyDescent="0.25">
      <c r="A66" t="s">
        <v>104</v>
      </c>
      <c r="C66" s="9" t="s">
        <v>316</v>
      </c>
      <c r="D66" s="10">
        <f>(D53-D80)/2+D80</f>
        <v>700.67603869080028</v>
      </c>
      <c r="E66" s="11" t="s">
        <v>1</v>
      </c>
      <c r="H66" s="26"/>
      <c r="J66" s="71"/>
    </row>
    <row r="67" spans="1:15" x14ac:dyDescent="0.25">
      <c r="C67" s="9" t="s">
        <v>317</v>
      </c>
      <c r="D67" s="10">
        <f>D194-D80</f>
        <v>476.82396130919983</v>
      </c>
      <c r="E67" s="11" t="s">
        <v>1</v>
      </c>
      <c r="H67" s="26"/>
      <c r="J67" s="71"/>
    </row>
    <row r="68" spans="1:15" x14ac:dyDescent="0.25">
      <c r="C68" s="9" t="s">
        <v>109</v>
      </c>
      <c r="D68" s="10">
        <f>D77</f>
        <v>223.85207738160048</v>
      </c>
      <c r="E68" s="11" t="s">
        <v>1</v>
      </c>
      <c r="H68" s="26"/>
      <c r="I68" s="35" t="s">
        <v>145</v>
      </c>
      <c r="J68" s="71" t="s">
        <v>223</v>
      </c>
    </row>
    <row r="69" spans="1:15" x14ac:dyDescent="0.25">
      <c r="C69" s="13" t="s">
        <v>129</v>
      </c>
      <c r="D69" s="14">
        <f>D81</f>
        <v>149.98089184567232</v>
      </c>
      <c r="E69" s="15" t="s">
        <v>1</v>
      </c>
      <c r="H69" s="26"/>
      <c r="I69" s="35" t="s">
        <v>179</v>
      </c>
      <c r="J69" s="71" t="s">
        <v>223</v>
      </c>
    </row>
    <row r="70" spans="1:15" x14ac:dyDescent="0.25">
      <c r="D70" s="39"/>
    </row>
    <row r="71" spans="1:15" x14ac:dyDescent="0.25">
      <c r="B71" s="53" t="s">
        <v>177</v>
      </c>
    </row>
    <row r="72" spans="1:15" x14ac:dyDescent="0.25">
      <c r="C72" s="6" t="s">
        <v>266</v>
      </c>
      <c r="D72" s="56">
        <f>D96+D79+D81</f>
        <v>405.17226006069689</v>
      </c>
      <c r="E72" s="8" t="s">
        <v>1</v>
      </c>
      <c r="I72" s="35" t="s">
        <v>156</v>
      </c>
    </row>
    <row r="73" spans="1:15" x14ac:dyDescent="0.25">
      <c r="C73" s="13" t="s">
        <v>178</v>
      </c>
      <c r="D73" s="42">
        <f>D96+D79+D81+D57</f>
        <v>511.37226006069687</v>
      </c>
      <c r="E73" s="15" t="s">
        <v>1</v>
      </c>
      <c r="I73" s="35" t="s">
        <v>157</v>
      </c>
      <c r="J73" t="s">
        <v>280</v>
      </c>
    </row>
    <row r="74" spans="1:15" x14ac:dyDescent="0.25">
      <c r="D74" s="39"/>
    </row>
    <row r="75" spans="1:15" x14ac:dyDescent="0.25">
      <c r="B75" s="29" t="s">
        <v>309</v>
      </c>
      <c r="D75" s="10"/>
      <c r="H75" s="26"/>
    </row>
    <row r="76" spans="1:15" ht="17.25" x14ac:dyDescent="0.25">
      <c r="C76" s="6" t="s">
        <v>123</v>
      </c>
      <c r="D76" s="7">
        <v>65</v>
      </c>
      <c r="E76" s="8" t="s">
        <v>85</v>
      </c>
      <c r="H76" s="26"/>
      <c r="J76" s="71" t="s">
        <v>223</v>
      </c>
      <c r="K76" t="s">
        <v>239</v>
      </c>
    </row>
    <row r="77" spans="1:15" x14ac:dyDescent="0.25">
      <c r="C77" s="9" t="s">
        <v>110</v>
      </c>
      <c r="D77" s="10">
        <f>SQRT(D137/D76*83.2)</f>
        <v>223.85207738160048</v>
      </c>
      <c r="E77" s="11" t="s">
        <v>1</v>
      </c>
      <c r="H77" s="26"/>
      <c r="I77" s="35" t="s">
        <v>144</v>
      </c>
      <c r="J77" s="71" t="s">
        <v>223</v>
      </c>
      <c r="K77" t="s">
        <v>375</v>
      </c>
    </row>
    <row r="78" spans="1:15" x14ac:dyDescent="0.25">
      <c r="C78" s="9" t="s">
        <v>369</v>
      </c>
      <c r="D78" s="10">
        <f>D77+2*D42+2*D48</f>
        <v>406.25207738160043</v>
      </c>
      <c r="E78" s="11" t="s">
        <v>1</v>
      </c>
      <c r="H78" s="26"/>
      <c r="J78" s="71"/>
    </row>
    <row r="79" spans="1:15" x14ac:dyDescent="0.25">
      <c r="C79" s="9" t="s">
        <v>252</v>
      </c>
      <c r="D79" s="10">
        <f>D77*0.79</f>
        <v>176.84314113146439</v>
      </c>
      <c r="E79" s="11" t="s">
        <v>1</v>
      </c>
      <c r="H79" s="26"/>
      <c r="I79" s="35" t="s">
        <v>164</v>
      </c>
      <c r="J79" s="71" t="s">
        <v>223</v>
      </c>
      <c r="K79" s="76"/>
    </row>
    <row r="80" spans="1:15" x14ac:dyDescent="0.25">
      <c r="C80" s="9" t="s">
        <v>253</v>
      </c>
      <c r="D80" s="10">
        <f>D77</f>
        <v>223.85207738160048</v>
      </c>
      <c r="E80" s="11" t="s">
        <v>1</v>
      </c>
      <c r="H80" s="26"/>
      <c r="I80" s="35" t="s">
        <v>167</v>
      </c>
      <c r="J80" s="71" t="s">
        <v>223</v>
      </c>
      <c r="K80" s="75"/>
    </row>
    <row r="81" spans="2:11" x14ac:dyDescent="0.25">
      <c r="C81" s="13" t="s">
        <v>254</v>
      </c>
      <c r="D81" s="14">
        <f>D77*0.67</f>
        <v>149.98089184567232</v>
      </c>
      <c r="E81" s="15" t="s">
        <v>1</v>
      </c>
      <c r="H81" s="26"/>
      <c r="I81" s="35" t="s">
        <v>176</v>
      </c>
      <c r="J81" s="71" t="s">
        <v>223</v>
      </c>
      <c r="K81" s="76"/>
    </row>
    <row r="83" spans="2:11" x14ac:dyDescent="0.25">
      <c r="B83" s="29" t="s">
        <v>119</v>
      </c>
      <c r="D83"/>
    </row>
    <row r="84" spans="2:11" x14ac:dyDescent="0.25">
      <c r="C84" s="6" t="s">
        <v>233</v>
      </c>
      <c r="D84" s="7">
        <v>40</v>
      </c>
      <c r="E84" s="8" t="s">
        <v>1</v>
      </c>
      <c r="I84" s="35" t="s">
        <v>138</v>
      </c>
      <c r="J84" s="71" t="s">
        <v>223</v>
      </c>
    </row>
    <row r="85" spans="2:11" x14ac:dyDescent="0.25">
      <c r="C85" s="9" t="s">
        <v>235</v>
      </c>
      <c r="D85" s="39">
        <f>D84*2+D16</f>
        <v>749</v>
      </c>
      <c r="E85" s="11" t="s">
        <v>1</v>
      </c>
      <c r="I85" s="35" t="s">
        <v>165</v>
      </c>
      <c r="J85" s="71" t="s">
        <v>223</v>
      </c>
    </row>
    <row r="86" spans="2:11" x14ac:dyDescent="0.25">
      <c r="C86" s="9" t="s">
        <v>120</v>
      </c>
      <c r="D86" s="39">
        <f>(D9+D12)-D15+D42</f>
        <v>427.57499999999993</v>
      </c>
      <c r="E86" s="11" t="s">
        <v>1</v>
      </c>
      <c r="I86" s="35" t="s">
        <v>154</v>
      </c>
      <c r="J86" s="71" t="s">
        <v>223</v>
      </c>
      <c r="K86" s="76"/>
    </row>
    <row r="87" spans="2:11" x14ac:dyDescent="0.25">
      <c r="C87" s="9" t="s">
        <v>174</v>
      </c>
      <c r="D87" s="43">
        <f>D52</f>
        <v>1177.5</v>
      </c>
      <c r="E87" s="11" t="s">
        <v>1</v>
      </c>
      <c r="I87" s="35" t="s">
        <v>141</v>
      </c>
      <c r="J87" s="71" t="s">
        <v>223</v>
      </c>
    </row>
    <row r="88" spans="2:11" x14ac:dyDescent="0.25">
      <c r="C88" s="9" t="s">
        <v>173</v>
      </c>
      <c r="D88" s="10">
        <f>D87</f>
        <v>1177.5</v>
      </c>
      <c r="E88" s="11" t="s">
        <v>1</v>
      </c>
      <c r="I88" s="35" t="s">
        <v>161</v>
      </c>
      <c r="J88" s="71" t="s">
        <v>223</v>
      </c>
    </row>
    <row r="89" spans="2:11" x14ac:dyDescent="0.25">
      <c r="C89" s="9" t="s">
        <v>175</v>
      </c>
      <c r="D89" s="43">
        <f>D86</f>
        <v>427.57499999999993</v>
      </c>
      <c r="E89" s="11" t="s">
        <v>1</v>
      </c>
      <c r="I89" s="35" t="s">
        <v>155</v>
      </c>
      <c r="J89" s="71" t="s">
        <v>223</v>
      </c>
    </row>
    <row r="90" spans="2:11" x14ac:dyDescent="0.25">
      <c r="C90" s="13" t="s">
        <v>213</v>
      </c>
      <c r="D90" s="42">
        <f>(D52-D85)/2</f>
        <v>214.25</v>
      </c>
      <c r="E90" s="15" t="s">
        <v>1</v>
      </c>
      <c r="I90" s="35" t="s">
        <v>216</v>
      </c>
      <c r="J90" s="71" t="s">
        <v>223</v>
      </c>
    </row>
    <row r="91" spans="2:11" x14ac:dyDescent="0.25">
      <c r="D91" s="43"/>
    </row>
    <row r="92" spans="2:11" x14ac:dyDescent="0.25">
      <c r="B92" s="29" t="s">
        <v>311</v>
      </c>
      <c r="D92" s="26"/>
    </row>
    <row r="93" spans="2:11" x14ac:dyDescent="0.25">
      <c r="B93" s="29"/>
      <c r="C93" s="6" t="s">
        <v>353</v>
      </c>
      <c r="D93" s="45">
        <f>(D94*2+2*D95)/(D14*PI())*D96</f>
        <v>33.379075459459465</v>
      </c>
      <c r="E93" s="8" t="s">
        <v>1</v>
      </c>
      <c r="I93" s="35" t="s">
        <v>158</v>
      </c>
      <c r="J93" s="71" t="s">
        <v>223</v>
      </c>
    </row>
    <row r="94" spans="2:11" x14ac:dyDescent="0.25">
      <c r="C94" s="9" t="s">
        <v>312</v>
      </c>
      <c r="D94" s="10">
        <f>D77</f>
        <v>223.85207738160048</v>
      </c>
      <c r="E94" s="11" t="s">
        <v>1</v>
      </c>
      <c r="I94" s="73" t="s">
        <v>142</v>
      </c>
    </row>
    <row r="95" spans="2:11" x14ac:dyDescent="0.25">
      <c r="C95" s="9" t="s">
        <v>313</v>
      </c>
      <c r="D95" s="10">
        <f>D80</f>
        <v>223.85207738160048</v>
      </c>
      <c r="E95" s="11" t="s">
        <v>1</v>
      </c>
      <c r="I95" s="73" t="s">
        <v>143</v>
      </c>
    </row>
    <row r="96" spans="2:11" x14ac:dyDescent="0.25">
      <c r="C96" s="9" t="s">
        <v>314</v>
      </c>
      <c r="D96" s="10">
        <f>D94*0.35</f>
        <v>78.348227083560161</v>
      </c>
      <c r="E96" s="11" t="s">
        <v>371</v>
      </c>
      <c r="I96" s="35" t="s">
        <v>159</v>
      </c>
    </row>
    <row r="97" spans="2:11" x14ac:dyDescent="0.25">
      <c r="C97" s="9" t="s">
        <v>354</v>
      </c>
      <c r="D97" s="10">
        <f>D14+2*D84</f>
        <v>749</v>
      </c>
      <c r="E97" s="11" t="s">
        <v>1</v>
      </c>
    </row>
    <row r="98" spans="2:11" x14ac:dyDescent="0.25">
      <c r="C98" s="13" t="s">
        <v>355</v>
      </c>
      <c r="D98" s="14">
        <f>(D9+D12)-D15+D42</f>
        <v>427.57499999999993</v>
      </c>
      <c r="E98" s="15" t="s">
        <v>1</v>
      </c>
    </row>
    <row r="100" spans="2:11" x14ac:dyDescent="0.25">
      <c r="B100" s="29" t="s">
        <v>71</v>
      </c>
      <c r="D100" s="26"/>
    </row>
    <row r="101" spans="2:11" x14ac:dyDescent="0.25">
      <c r="C101" s="6" t="s">
        <v>206</v>
      </c>
      <c r="D101" s="7">
        <v>140</v>
      </c>
      <c r="E101" s="8" t="s">
        <v>1</v>
      </c>
      <c r="F101" s="11"/>
      <c r="I101" s="35" t="s">
        <v>185</v>
      </c>
      <c r="J101" s="71" t="s">
        <v>223</v>
      </c>
    </row>
    <row r="102" spans="2:11" x14ac:dyDescent="0.25">
      <c r="C102" s="9" t="s">
        <v>209</v>
      </c>
      <c r="D102" s="18">
        <v>1.6</v>
      </c>
      <c r="E102" s="11" t="s">
        <v>1</v>
      </c>
      <c r="I102" s="35" t="s">
        <v>210</v>
      </c>
      <c r="J102" s="71" t="s">
        <v>223</v>
      </c>
    </row>
    <row r="103" spans="2:11" x14ac:dyDescent="0.25">
      <c r="C103" s="9" t="s">
        <v>207</v>
      </c>
      <c r="D103" s="39">
        <f>D101-2*D102</f>
        <v>136.80000000000001</v>
      </c>
      <c r="E103" s="11" t="s">
        <v>1</v>
      </c>
      <c r="I103" s="35" t="s">
        <v>208</v>
      </c>
      <c r="J103" s="71" t="s">
        <v>223</v>
      </c>
    </row>
    <row r="104" spans="2:11" x14ac:dyDescent="0.25">
      <c r="C104" s="9" t="s">
        <v>351</v>
      </c>
      <c r="D104" s="39">
        <f>1.45*D101</f>
        <v>203</v>
      </c>
      <c r="E104" s="11" t="s">
        <v>1</v>
      </c>
      <c r="J104" s="71"/>
    </row>
    <row r="105" spans="2:11" x14ac:dyDescent="0.25">
      <c r="C105" s="9" t="s">
        <v>352</v>
      </c>
      <c r="D105" s="39">
        <f>1.12*D101</f>
        <v>156.80000000000001</v>
      </c>
      <c r="E105" s="11" t="s">
        <v>1</v>
      </c>
      <c r="J105" s="71"/>
    </row>
    <row r="106" spans="2:11" x14ac:dyDescent="0.25">
      <c r="C106" s="13" t="s">
        <v>275</v>
      </c>
      <c r="D106" s="59">
        <f>D186</f>
        <v>2.34805703402807</v>
      </c>
      <c r="E106" s="15" t="s">
        <v>52</v>
      </c>
      <c r="I106" s="68" t="s">
        <v>128</v>
      </c>
    </row>
    <row r="107" spans="2:11" x14ac:dyDescent="0.25">
      <c r="D107" s="43"/>
    </row>
    <row r="108" spans="2:11" x14ac:dyDescent="0.25">
      <c r="B108" s="29" t="s">
        <v>241</v>
      </c>
      <c r="D108" s="10"/>
      <c r="H108" s="26"/>
    </row>
    <row r="109" spans="2:11" x14ac:dyDescent="0.25">
      <c r="B109" s="28"/>
      <c r="C109" s="6" t="s">
        <v>273</v>
      </c>
      <c r="D109" s="16">
        <f>D40</f>
        <v>350</v>
      </c>
      <c r="E109" s="8" t="s">
        <v>1</v>
      </c>
      <c r="H109" s="26"/>
      <c r="I109" s="35" t="s">
        <v>168</v>
      </c>
      <c r="J109" s="71" t="s">
        <v>223</v>
      </c>
    </row>
    <row r="110" spans="2:11" x14ac:dyDescent="0.25">
      <c r="B110" s="28"/>
      <c r="C110" s="9" t="s">
        <v>240</v>
      </c>
      <c r="D110" s="10">
        <f>D39</f>
        <v>85</v>
      </c>
      <c r="E110" s="11" t="s">
        <v>1</v>
      </c>
      <c r="H110" s="26"/>
      <c r="I110" s="35" t="s">
        <v>146</v>
      </c>
      <c r="J110" s="71" t="s">
        <v>223</v>
      </c>
      <c r="K110" s="76"/>
    </row>
    <row r="111" spans="2:11" ht="17.25" x14ac:dyDescent="0.25">
      <c r="B111" s="28"/>
      <c r="C111" s="9" t="s">
        <v>274</v>
      </c>
      <c r="D111" s="10">
        <f>D113/D112</f>
        <v>3357.7811607240073</v>
      </c>
      <c r="E111" s="11" t="s">
        <v>90</v>
      </c>
      <c r="H111" s="26"/>
      <c r="I111" s="35" t="s">
        <v>163</v>
      </c>
      <c r="J111" s="71" t="s">
        <v>223</v>
      </c>
    </row>
    <row r="112" spans="2:11" x14ac:dyDescent="0.25">
      <c r="B112" s="28"/>
      <c r="C112" s="9" t="s">
        <v>297</v>
      </c>
      <c r="D112" s="10">
        <f>D65-1</f>
        <v>4</v>
      </c>
      <c r="E112" s="11"/>
      <c r="H112" s="26"/>
      <c r="I112" s="35" t="s">
        <v>166</v>
      </c>
      <c r="J112" s="71" t="s">
        <v>223</v>
      </c>
    </row>
    <row r="113" spans="2:13" ht="17.25" x14ac:dyDescent="0.25">
      <c r="B113" s="28"/>
      <c r="C113" s="9" t="s">
        <v>298</v>
      </c>
      <c r="D113" s="10">
        <f>D77*D60*D112</f>
        <v>13431.124642896029</v>
      </c>
      <c r="E113" s="11" t="s">
        <v>90</v>
      </c>
      <c r="H113" s="26"/>
      <c r="I113" s="35" t="s">
        <v>162</v>
      </c>
      <c r="J113" s="71" t="s">
        <v>223</v>
      </c>
    </row>
    <row r="114" spans="2:13" x14ac:dyDescent="0.25">
      <c r="B114" s="28"/>
      <c r="C114" s="13" t="s">
        <v>124</v>
      </c>
      <c r="D114" s="14">
        <f>SQRT(D111/PI())*2</f>
        <v>65.385470529778573</v>
      </c>
      <c r="E114" s="15" t="s">
        <v>1</v>
      </c>
      <c r="H114" s="26"/>
      <c r="I114" s="35" t="s">
        <v>150</v>
      </c>
      <c r="J114" s="71" t="s">
        <v>223</v>
      </c>
    </row>
    <row r="115" spans="2:13" x14ac:dyDescent="0.25">
      <c r="D115"/>
    </row>
    <row r="116" spans="2:13" x14ac:dyDescent="0.25">
      <c r="B116" s="29" t="s">
        <v>115</v>
      </c>
    </row>
    <row r="117" spans="2:13" ht="17.25" x14ac:dyDescent="0.25">
      <c r="C117" s="6" t="s">
        <v>247</v>
      </c>
      <c r="D117" s="16">
        <f>(D16/20)^2*PI()</f>
        <v>3515.1358740832538</v>
      </c>
      <c r="E117" s="8" t="s">
        <v>2</v>
      </c>
      <c r="G117" t="s">
        <v>248</v>
      </c>
      <c r="J117" s="71" t="s">
        <v>223</v>
      </c>
    </row>
    <row r="118" spans="2:13" x14ac:dyDescent="0.25">
      <c r="C118" s="9" t="s">
        <v>5</v>
      </c>
      <c r="D118" s="10">
        <f>D16*PI()</f>
        <v>2101.7254852515716</v>
      </c>
      <c r="E118" s="11" t="s">
        <v>1</v>
      </c>
      <c r="G118" t="s">
        <v>91</v>
      </c>
      <c r="J118" s="71" t="s">
        <v>223</v>
      </c>
      <c r="M118" s="3"/>
    </row>
    <row r="119" spans="2:13" x14ac:dyDescent="0.25">
      <c r="C119" s="9" t="s">
        <v>276</v>
      </c>
      <c r="D119" s="12">
        <v>60</v>
      </c>
      <c r="E119" s="11" t="s">
        <v>4</v>
      </c>
      <c r="G119" t="s">
        <v>251</v>
      </c>
      <c r="J119" s="71" t="s">
        <v>223</v>
      </c>
    </row>
    <row r="120" spans="2:13" ht="17.25" x14ac:dyDescent="0.25">
      <c r="C120" s="9" t="s">
        <v>249</v>
      </c>
      <c r="D120" s="10">
        <f>D118*D119/1000*((D18-D15-D24)/10)+D117</f>
        <v>7315.5809827894072</v>
      </c>
      <c r="E120" s="11" t="s">
        <v>2</v>
      </c>
      <c r="G120" t="str">
        <f>"Bottom area plus side heated at the nominal rate over "&amp;D119&amp;"% of the available area."</f>
        <v>Bottom area plus side heated at the nominal rate over 60% of the available area.</v>
      </c>
      <c r="J120" s="71" t="s">
        <v>223</v>
      </c>
      <c r="L120" s="29"/>
    </row>
    <row r="121" spans="2:13" ht="17.25" x14ac:dyDescent="0.25">
      <c r="C121" s="9" t="s">
        <v>6</v>
      </c>
      <c r="D121" s="18">
        <v>2</v>
      </c>
      <c r="E121" s="11" t="s">
        <v>277</v>
      </c>
      <c r="G121" t="s">
        <v>250</v>
      </c>
      <c r="J121" s="71" t="s">
        <v>223</v>
      </c>
    </row>
    <row r="122" spans="2:13" x14ac:dyDescent="0.25">
      <c r="C122" s="9" t="s">
        <v>7</v>
      </c>
      <c r="D122" s="10">
        <f>D121*D120</f>
        <v>14631.161965578814</v>
      </c>
      <c r="E122" s="11" t="s">
        <v>8</v>
      </c>
      <c r="G122" t="s">
        <v>92</v>
      </c>
      <c r="J122" s="71" t="s">
        <v>223</v>
      </c>
    </row>
    <row r="123" spans="2:13" x14ac:dyDescent="0.25">
      <c r="C123" s="9" t="s">
        <v>9</v>
      </c>
      <c r="D123" s="12">
        <v>90</v>
      </c>
      <c r="E123" s="11" t="s">
        <v>4</v>
      </c>
      <c r="J123" s="71" t="s">
        <v>223</v>
      </c>
    </row>
    <row r="124" spans="2:13" x14ac:dyDescent="0.25">
      <c r="C124" s="9" t="s">
        <v>10</v>
      </c>
      <c r="D124" s="10">
        <f>D123/100*D10</f>
        <v>145.51084634159449</v>
      </c>
      <c r="E124" s="11" t="s">
        <v>3</v>
      </c>
      <c r="J124" s="71" t="s">
        <v>223</v>
      </c>
    </row>
    <row r="125" spans="2:13" x14ac:dyDescent="0.25">
      <c r="C125" s="9" t="s">
        <v>11</v>
      </c>
      <c r="D125" s="12">
        <v>25</v>
      </c>
      <c r="E125" s="30" t="s">
        <v>13</v>
      </c>
      <c r="J125" s="71" t="s">
        <v>223</v>
      </c>
    </row>
    <row r="126" spans="2:13" x14ac:dyDescent="0.25">
      <c r="C126" s="9" t="s">
        <v>12</v>
      </c>
      <c r="D126" s="12">
        <v>95</v>
      </c>
      <c r="E126" s="30" t="s">
        <v>13</v>
      </c>
      <c r="G126" t="s">
        <v>93</v>
      </c>
      <c r="J126" s="71" t="s">
        <v>223</v>
      </c>
      <c r="M126" s="3"/>
    </row>
    <row r="127" spans="2:13" x14ac:dyDescent="0.25">
      <c r="C127" s="9" t="s">
        <v>14</v>
      </c>
      <c r="D127" s="10">
        <f>D126-D125</f>
        <v>70</v>
      </c>
      <c r="E127" s="30" t="s">
        <v>13</v>
      </c>
      <c r="J127" s="71" t="s">
        <v>223</v>
      </c>
      <c r="M127" s="3"/>
    </row>
    <row r="128" spans="2:13" x14ac:dyDescent="0.25">
      <c r="C128" s="9" t="s">
        <v>15</v>
      </c>
      <c r="D128" s="21">
        <f>D124*4.186*D127/1000</f>
        <v>42.637588195014018</v>
      </c>
      <c r="E128" s="30" t="s">
        <v>16</v>
      </c>
      <c r="J128" s="71" t="s">
        <v>223</v>
      </c>
      <c r="M128" s="3"/>
    </row>
    <row r="129" spans="2:13" x14ac:dyDescent="0.25">
      <c r="C129" s="9" t="s">
        <v>17</v>
      </c>
      <c r="D129" s="10">
        <f>D128*1000000/D122/60</f>
        <v>48.56938031228934</v>
      </c>
      <c r="E129" s="30" t="s">
        <v>18</v>
      </c>
      <c r="G129" t="s">
        <v>77</v>
      </c>
      <c r="J129" s="71" t="s">
        <v>223</v>
      </c>
    </row>
    <row r="130" spans="2:13" x14ac:dyDescent="0.25">
      <c r="C130" s="9" t="s">
        <v>19</v>
      </c>
      <c r="D130" s="12">
        <v>5</v>
      </c>
      <c r="E130" s="30" t="s">
        <v>4</v>
      </c>
      <c r="G130" t="s">
        <v>87</v>
      </c>
      <c r="J130" s="71" t="s">
        <v>223</v>
      </c>
      <c r="M130" s="3"/>
    </row>
    <row r="131" spans="2:13" x14ac:dyDescent="0.25">
      <c r="C131" s="13" t="s">
        <v>20</v>
      </c>
      <c r="D131" s="14">
        <f>D129*(100+D130)/100</f>
        <v>50.997849327903808</v>
      </c>
      <c r="E131" s="31" t="s">
        <v>18</v>
      </c>
      <c r="G131" t="str">
        <f>"Expected boiling time for "&amp;ROUND(D124,0)&amp;" litres."</f>
        <v>Expected boiling time for 146 litres.</v>
      </c>
      <c r="J131" s="71" t="s">
        <v>223</v>
      </c>
    </row>
    <row r="133" spans="2:13" x14ac:dyDescent="0.25">
      <c r="B133" s="29" t="s">
        <v>114</v>
      </c>
    </row>
    <row r="134" spans="2:13" x14ac:dyDescent="0.25">
      <c r="C134" s="6" t="s">
        <v>111</v>
      </c>
      <c r="D134" s="7">
        <v>37</v>
      </c>
      <c r="E134" s="8" t="s">
        <v>278</v>
      </c>
      <c r="G134" t="s">
        <v>103</v>
      </c>
      <c r="J134" s="71" t="s">
        <v>223</v>
      </c>
    </row>
    <row r="135" spans="2:13" x14ac:dyDescent="0.25">
      <c r="C135" s="9" t="s">
        <v>112</v>
      </c>
      <c r="D135" s="10">
        <f>D122/(D134/100)</f>
        <v>39543.680988050852</v>
      </c>
      <c r="E135" s="11" t="s">
        <v>8</v>
      </c>
      <c r="G135" t="s">
        <v>78</v>
      </c>
      <c r="J135" s="71" t="s">
        <v>223</v>
      </c>
      <c r="L135" t="s">
        <v>113</v>
      </c>
    </row>
    <row r="136" spans="2:13" x14ac:dyDescent="0.25">
      <c r="C136" s="9" t="s">
        <v>21</v>
      </c>
      <c r="D136" s="12">
        <v>99</v>
      </c>
      <c r="E136" s="11" t="s">
        <v>4</v>
      </c>
      <c r="G136" t="s">
        <v>79</v>
      </c>
      <c r="J136" s="71" t="s">
        <v>223</v>
      </c>
    </row>
    <row r="137" spans="2:13" x14ac:dyDescent="0.25">
      <c r="C137" s="13" t="s">
        <v>86</v>
      </c>
      <c r="D137" s="14">
        <f>D135*(D136/100)</f>
        <v>39148.244178170346</v>
      </c>
      <c r="E137" s="15" t="s">
        <v>8</v>
      </c>
      <c r="G137" t="s">
        <v>88</v>
      </c>
      <c r="J137" s="71" t="s">
        <v>223</v>
      </c>
    </row>
    <row r="138" spans="2:13" x14ac:dyDescent="0.25">
      <c r="D138" s="10"/>
    </row>
    <row r="139" spans="2:13" x14ac:dyDescent="0.25">
      <c r="B139" s="29" t="s">
        <v>116</v>
      </c>
      <c r="D139" s="10"/>
    </row>
    <row r="140" spans="2:13" x14ac:dyDescent="0.25">
      <c r="C140" s="6" t="s">
        <v>29</v>
      </c>
      <c r="D140" s="7" t="s">
        <v>30</v>
      </c>
      <c r="E140" s="8"/>
      <c r="F140" s="8"/>
      <c r="J140" s="71" t="s">
        <v>223</v>
      </c>
    </row>
    <row r="141" spans="2:13" x14ac:dyDescent="0.25">
      <c r="C141" s="9" t="s">
        <v>31</v>
      </c>
      <c r="D141" s="12">
        <v>14</v>
      </c>
      <c r="E141" s="11" t="s">
        <v>32</v>
      </c>
      <c r="F141" s="11"/>
      <c r="J141" s="71" t="s">
        <v>223</v>
      </c>
    </row>
    <row r="142" spans="2:13" x14ac:dyDescent="0.25">
      <c r="C142" s="9" t="s">
        <v>33</v>
      </c>
      <c r="D142" s="17">
        <v>20</v>
      </c>
      <c r="E142" s="11" t="s">
        <v>34</v>
      </c>
      <c r="F142" s="11"/>
      <c r="G142" t="s">
        <v>94</v>
      </c>
      <c r="J142" s="71" t="s">
        <v>223</v>
      </c>
    </row>
    <row r="143" spans="2:13" x14ac:dyDescent="0.25">
      <c r="C143" s="9" t="s">
        <v>28</v>
      </c>
      <c r="D143" s="17">
        <v>5.85</v>
      </c>
      <c r="E143" s="11" t="s">
        <v>4</v>
      </c>
      <c r="F143" s="11"/>
      <c r="G143" t="s">
        <v>95</v>
      </c>
      <c r="J143" s="71" t="s">
        <v>223</v>
      </c>
    </row>
    <row r="144" spans="2:13" ht="18" x14ac:dyDescent="0.35">
      <c r="C144" s="9" t="s">
        <v>35</v>
      </c>
      <c r="D144" s="18">
        <v>19.399999999999999</v>
      </c>
      <c r="E144" s="11" t="s">
        <v>4</v>
      </c>
      <c r="F144" s="11"/>
      <c r="G144" t="s">
        <v>80</v>
      </c>
      <c r="J144" s="71" t="s">
        <v>223</v>
      </c>
    </row>
    <row r="145" spans="2:12" x14ac:dyDescent="0.25">
      <c r="C145" s="9" t="s">
        <v>23</v>
      </c>
      <c r="D145" s="19">
        <f>D142-(D143/100*9*2.592)</f>
        <v>18.635311999999999</v>
      </c>
      <c r="E145" s="11" t="s">
        <v>24</v>
      </c>
      <c r="F145" s="11"/>
      <c r="J145" s="71" t="s">
        <v>223</v>
      </c>
    </row>
    <row r="146" spans="2:12" x14ac:dyDescent="0.25">
      <c r="C146" s="9" t="s">
        <v>25</v>
      </c>
      <c r="D146" s="19">
        <f>(D145*(1-D141/100))-(D141*0.02592)</f>
        <v>15.663488319999999</v>
      </c>
      <c r="E146" s="11" t="s">
        <v>25</v>
      </c>
      <c r="F146" s="11"/>
      <c r="J146" s="71" t="s">
        <v>223</v>
      </c>
    </row>
    <row r="147" spans="2:12" x14ac:dyDescent="0.25">
      <c r="C147" s="9" t="s">
        <v>26</v>
      </c>
      <c r="D147" s="18">
        <v>45.6</v>
      </c>
      <c r="E147" s="11" t="s">
        <v>4</v>
      </c>
      <c r="F147" s="11"/>
      <c r="G147" t="s">
        <v>246</v>
      </c>
      <c r="J147" s="71" t="s">
        <v>223</v>
      </c>
    </row>
    <row r="148" spans="2:12" ht="18" x14ac:dyDescent="0.35">
      <c r="C148" s="9" t="s">
        <v>27</v>
      </c>
      <c r="D148" s="19">
        <f>D147/100*((1-D141/100)/12*44)</f>
        <v>1.4379200000000001</v>
      </c>
      <c r="E148" s="11" t="s">
        <v>97</v>
      </c>
      <c r="F148" s="11"/>
      <c r="G148" t="s">
        <v>96</v>
      </c>
      <c r="J148" s="71" t="s">
        <v>223</v>
      </c>
    </row>
    <row r="149" spans="2:12" x14ac:dyDescent="0.25">
      <c r="C149" s="13" t="s">
        <v>22</v>
      </c>
      <c r="D149" s="20">
        <f>D137/(D146*1000000)*3600</f>
        <v>8.997592117552859</v>
      </c>
      <c r="E149" s="15" t="s">
        <v>39</v>
      </c>
      <c r="F149" s="15"/>
      <c r="J149" s="71" t="s">
        <v>223</v>
      </c>
    </row>
    <row r="150" spans="2:12" x14ac:dyDescent="0.25">
      <c r="D150" s="2"/>
    </row>
    <row r="151" spans="2:12" x14ac:dyDescent="0.25">
      <c r="B151" s="29" t="s">
        <v>117</v>
      </c>
      <c r="D151" s="2"/>
    </row>
    <row r="152" spans="2:12" x14ac:dyDescent="0.25">
      <c r="C152" s="6" t="s">
        <v>48</v>
      </c>
      <c r="D152" s="23"/>
      <c r="E152" s="8"/>
      <c r="F152" s="8"/>
    </row>
    <row r="153" spans="2:12" ht="17.25" x14ac:dyDescent="0.25">
      <c r="C153" s="9" t="s">
        <v>40</v>
      </c>
      <c r="D153" s="17">
        <v>3.56</v>
      </c>
      <c r="E153" s="11" t="s">
        <v>37</v>
      </c>
      <c r="F153" s="11"/>
      <c r="G153" t="s">
        <v>242</v>
      </c>
      <c r="J153" s="71" t="s">
        <v>223</v>
      </c>
    </row>
    <row r="154" spans="2:12" x14ac:dyDescent="0.25">
      <c r="C154" s="9" t="s">
        <v>41</v>
      </c>
      <c r="D154" s="17">
        <v>4.0999999999999996</v>
      </c>
      <c r="E154" s="11" t="s">
        <v>38</v>
      </c>
      <c r="F154" s="11"/>
      <c r="J154" s="71" t="s">
        <v>223</v>
      </c>
    </row>
    <row r="155" spans="2:12" x14ac:dyDescent="0.25">
      <c r="C155" s="9" t="s">
        <v>36</v>
      </c>
      <c r="D155" s="12">
        <v>100</v>
      </c>
      <c r="E155" s="11" t="s">
        <v>4</v>
      </c>
      <c r="F155" s="11"/>
      <c r="J155" s="71" t="s">
        <v>223</v>
      </c>
    </row>
    <row r="156" spans="2:12" ht="17.25" x14ac:dyDescent="0.25">
      <c r="C156" s="9" t="s">
        <v>47</v>
      </c>
      <c r="D156" s="19">
        <f>D154*D155/100+D153</f>
        <v>7.66</v>
      </c>
      <c r="E156" s="11" t="s">
        <v>42</v>
      </c>
      <c r="F156" s="11"/>
      <c r="J156" s="71" t="s">
        <v>223</v>
      </c>
    </row>
    <row r="157" spans="2:12" ht="17.25" x14ac:dyDescent="0.25">
      <c r="C157" s="9" t="s">
        <v>46</v>
      </c>
      <c r="D157" s="19">
        <f>D154+D154*D155/100</f>
        <v>8.1999999999999993</v>
      </c>
      <c r="E157" s="11" t="s">
        <v>42</v>
      </c>
      <c r="F157" s="11"/>
      <c r="G157" t="s">
        <v>81</v>
      </c>
      <c r="J157" s="71" t="s">
        <v>223</v>
      </c>
    </row>
    <row r="158" spans="2:12" ht="17.25" x14ac:dyDescent="0.25">
      <c r="C158" s="9" t="s">
        <v>45</v>
      </c>
      <c r="D158" s="21">
        <f>D156*D149</f>
        <v>68.921555620454896</v>
      </c>
      <c r="E158" s="11" t="s">
        <v>43</v>
      </c>
      <c r="F158" s="11"/>
      <c r="J158" s="71" t="s">
        <v>223</v>
      </c>
      <c r="L158" s="80" t="s">
        <v>339</v>
      </c>
    </row>
    <row r="159" spans="2:12" ht="17.25" x14ac:dyDescent="0.25">
      <c r="C159" s="13" t="s">
        <v>44</v>
      </c>
      <c r="D159" s="22">
        <f>D157*D149</f>
        <v>73.780255363933435</v>
      </c>
      <c r="E159" s="15" t="s">
        <v>43</v>
      </c>
      <c r="F159" s="33" t="str">
        <f>ROUND(D159*1000/3600, 1)&amp;" L/sec"</f>
        <v>20.5 L/sec</v>
      </c>
      <c r="G159" s="9"/>
      <c r="J159" s="71" t="s">
        <v>223</v>
      </c>
    </row>
    <row r="160" spans="2:12" x14ac:dyDescent="0.25">
      <c r="F160" s="11"/>
    </row>
    <row r="161" spans="2:14" x14ac:dyDescent="0.25">
      <c r="B161" s="29" t="s">
        <v>118</v>
      </c>
      <c r="D161"/>
      <c r="F161" s="11"/>
    </row>
    <row r="162" spans="2:14" x14ac:dyDescent="0.25">
      <c r="C162" s="6" t="s">
        <v>49</v>
      </c>
      <c r="D162" s="40">
        <f>D158*1000/3600</f>
        <v>19.144876561237471</v>
      </c>
      <c r="E162" s="8" t="s">
        <v>50</v>
      </c>
      <c r="F162" s="11"/>
      <c r="J162" s="71" t="s">
        <v>223</v>
      </c>
    </row>
    <row r="163" spans="2:14" x14ac:dyDescent="0.25">
      <c r="C163" s="9" t="s">
        <v>51</v>
      </c>
      <c r="D163" s="12">
        <v>900</v>
      </c>
      <c r="E163" s="30" t="s">
        <v>13</v>
      </c>
      <c r="F163" s="48" t="s">
        <v>82</v>
      </c>
      <c r="J163" s="71" t="s">
        <v>223</v>
      </c>
      <c r="M163" s="4" t="s">
        <v>100</v>
      </c>
    </row>
    <row r="164" spans="2:14" ht="17.25" x14ac:dyDescent="0.25">
      <c r="C164" s="9" t="str">
        <f>"Density at "&amp;D163&amp;"°C"</f>
        <v>Density at 900°C</v>
      </c>
      <c r="D164" s="24">
        <v>0.3009</v>
      </c>
      <c r="E164" s="30" t="s">
        <v>53</v>
      </c>
      <c r="F164" s="11"/>
      <c r="I164" s="35" t="s">
        <v>58</v>
      </c>
      <c r="J164" s="71" t="s">
        <v>223</v>
      </c>
      <c r="M164" s="4" t="s">
        <v>58</v>
      </c>
      <c r="N164" t="s">
        <v>59</v>
      </c>
    </row>
    <row r="165" spans="2:14" ht="17.25" x14ac:dyDescent="0.25">
      <c r="B165" s="28" t="s">
        <v>356</v>
      </c>
      <c r="C165" s="9" t="s">
        <v>74</v>
      </c>
      <c r="D165" s="10">
        <f>D159/D164</f>
        <v>245.19858878010447</v>
      </c>
      <c r="E165" s="11" t="s">
        <v>43</v>
      </c>
      <c r="F165" s="11"/>
      <c r="H165" t="s">
        <v>62</v>
      </c>
      <c r="I165" s="65">
        <v>900</v>
      </c>
      <c r="J165" s="5" t="s">
        <v>13</v>
      </c>
      <c r="M165" s="38">
        <v>1000</v>
      </c>
      <c r="N165" s="25">
        <v>0.27729999999999999</v>
      </c>
    </row>
    <row r="166" spans="2:14" x14ac:dyDescent="0.25">
      <c r="C166" s="9" t="s">
        <v>75</v>
      </c>
      <c r="D166" s="10">
        <f>D165/3.6</f>
        <v>68.110719105584579</v>
      </c>
      <c r="E166" s="11" t="s">
        <v>57</v>
      </c>
      <c r="F166" s="11"/>
      <c r="H166" t="s">
        <v>63</v>
      </c>
      <c r="I166" s="65">
        <v>350</v>
      </c>
      <c r="J166" s="5" t="s">
        <v>13</v>
      </c>
      <c r="M166" s="38">
        <v>900</v>
      </c>
      <c r="N166" s="25">
        <v>0.3009</v>
      </c>
    </row>
    <row r="167" spans="2:14" x14ac:dyDescent="0.25">
      <c r="C167" s="9" t="s">
        <v>340</v>
      </c>
      <c r="D167" s="19">
        <f>D166/(D77/1000*D80)</f>
        <v>1.3592308012350012</v>
      </c>
      <c r="E167" s="11" t="s">
        <v>52</v>
      </c>
      <c r="F167" s="11"/>
      <c r="H167" t="s">
        <v>64</v>
      </c>
      <c r="I167" s="35">
        <f>I165-I166</f>
        <v>550</v>
      </c>
      <c r="J167" s="5" t="s">
        <v>13</v>
      </c>
      <c r="M167" s="38">
        <v>800</v>
      </c>
      <c r="N167" s="25">
        <v>0.32890000000000003</v>
      </c>
    </row>
    <row r="168" spans="2:14" x14ac:dyDescent="0.25">
      <c r="C168" s="9" t="s">
        <v>99</v>
      </c>
      <c r="D168" s="10">
        <f>D96</f>
        <v>78.348227083560161</v>
      </c>
      <c r="E168" s="11" t="s">
        <v>1</v>
      </c>
      <c r="F168" s="11"/>
      <c r="H168" t="s">
        <v>102</v>
      </c>
      <c r="I168" s="66">
        <v>0.33500000000000002</v>
      </c>
      <c r="J168" s="5" t="s">
        <v>122</v>
      </c>
      <c r="M168" s="38">
        <v>700</v>
      </c>
      <c r="N168" s="25">
        <v>0.36259999999999998</v>
      </c>
    </row>
    <row r="169" spans="2:14" x14ac:dyDescent="0.25">
      <c r="C169" s="9" t="s">
        <v>341</v>
      </c>
      <c r="D169" s="20">
        <f>D165/3600/(D231/1000*(D96/1000))</f>
        <v>1.8506214122472886</v>
      </c>
      <c r="E169" s="15" t="str">
        <f>"m/sec (@ "&amp;D163&amp;" C)"</f>
        <v>m/sec (@ 900 C)</v>
      </c>
      <c r="F169" s="15"/>
      <c r="H169" t="s">
        <v>65</v>
      </c>
      <c r="I169" s="67">
        <f>I168*I167</f>
        <v>184.25</v>
      </c>
      <c r="J169" s="5" t="s">
        <v>13</v>
      </c>
      <c r="M169" s="34">
        <v>600</v>
      </c>
      <c r="N169" s="15">
        <v>0.40429999999999999</v>
      </c>
    </row>
    <row r="170" spans="2:14" x14ac:dyDescent="0.25">
      <c r="B170" s="28" t="s">
        <v>60</v>
      </c>
      <c r="C170" s="9" t="s">
        <v>98</v>
      </c>
      <c r="D170" s="12">
        <v>535</v>
      </c>
      <c r="E170" s="30" t="s">
        <v>13</v>
      </c>
      <c r="H170" t="s">
        <v>101</v>
      </c>
      <c r="I170" s="67">
        <f>I169+I166</f>
        <v>534.25</v>
      </c>
      <c r="J170" s="5" t="s">
        <v>13</v>
      </c>
      <c r="M170" s="38">
        <v>535</v>
      </c>
      <c r="N170" s="25">
        <f>N171-(M170-M171)/(M169-M171)*(N171-N169)</f>
        <v>0.43835999999999997</v>
      </c>
    </row>
    <row r="171" spans="2:14" x14ac:dyDescent="0.25">
      <c r="C171" s="9" t="s">
        <v>76</v>
      </c>
      <c r="D171" s="24">
        <v>0.43840000000000001</v>
      </c>
      <c r="E171" s="30" t="s">
        <v>61</v>
      </c>
      <c r="F171" s="8"/>
      <c r="H171" t="s">
        <v>66</v>
      </c>
      <c r="J171" s="71" t="s">
        <v>223</v>
      </c>
      <c r="M171" s="38">
        <v>500</v>
      </c>
      <c r="N171" s="25">
        <v>0.45669999999999999</v>
      </c>
    </row>
    <row r="172" spans="2:14" ht="17.25" x14ac:dyDescent="0.25">
      <c r="C172" s="9" t="s">
        <v>54</v>
      </c>
      <c r="D172" s="10">
        <f>D165*(D164/D171)</f>
        <v>168.29437811116205</v>
      </c>
      <c r="E172" s="11" t="s">
        <v>43</v>
      </c>
      <c r="F172" s="48" t="s">
        <v>83</v>
      </c>
      <c r="H172" t="s">
        <v>67</v>
      </c>
      <c r="J172" s="71" t="s">
        <v>223</v>
      </c>
      <c r="M172" s="38">
        <v>350</v>
      </c>
      <c r="N172" s="37">
        <v>0.56699999999999995</v>
      </c>
    </row>
    <row r="173" spans="2:14" x14ac:dyDescent="0.25">
      <c r="C173" s="9" t="s">
        <v>55</v>
      </c>
      <c r="D173" s="10">
        <f>D172/3600*1000</f>
        <v>46.74843836421168</v>
      </c>
      <c r="E173" s="11" t="s">
        <v>57</v>
      </c>
      <c r="F173" s="11"/>
      <c r="J173" s="71" t="s">
        <v>223</v>
      </c>
      <c r="M173" s="38">
        <v>225</v>
      </c>
      <c r="N173" s="37">
        <v>0.70799999999999996</v>
      </c>
    </row>
    <row r="174" spans="2:14" x14ac:dyDescent="0.25">
      <c r="C174" s="9" t="s">
        <v>357</v>
      </c>
      <c r="D174" s="10">
        <f>D93</f>
        <v>33.379075459459465</v>
      </c>
      <c r="E174" s="11" t="s">
        <v>1</v>
      </c>
      <c r="F174" s="11"/>
      <c r="J174" s="71" t="s">
        <v>223</v>
      </c>
    </row>
    <row r="175" spans="2:14" x14ac:dyDescent="0.25">
      <c r="C175" s="9" t="s">
        <v>68</v>
      </c>
      <c r="D175" s="19">
        <f>D172/(D118/1000*(D174/1000))/3600</f>
        <v>0.66637211302726129</v>
      </c>
      <c r="E175" s="11" t="s">
        <v>52</v>
      </c>
      <c r="F175" s="11"/>
      <c r="J175" s="71" t="s">
        <v>223</v>
      </c>
    </row>
    <row r="176" spans="2:14" x14ac:dyDescent="0.25">
      <c r="C176" s="9" t="s">
        <v>243</v>
      </c>
      <c r="D176" s="21">
        <f>D84</f>
        <v>40</v>
      </c>
      <c r="E176" s="11" t="s">
        <v>1</v>
      </c>
      <c r="F176" s="11"/>
      <c r="J176" s="71" t="s">
        <v>223</v>
      </c>
    </row>
    <row r="177" spans="2:11" x14ac:dyDescent="0.25">
      <c r="C177" s="13" t="s">
        <v>69</v>
      </c>
      <c r="D177" s="27">
        <f>(D172/3600)/((((D16+2*D176)/2)^2*PI()/1000000)-((D16/2)^2*PI()/1000000))</f>
        <v>0.52469993282729788</v>
      </c>
      <c r="E177" s="15" t="s">
        <v>52</v>
      </c>
      <c r="F177" s="58"/>
      <c r="J177" s="71" t="s">
        <v>223</v>
      </c>
    </row>
    <row r="179" spans="2:11" x14ac:dyDescent="0.25">
      <c r="B179" s="53" t="s">
        <v>127</v>
      </c>
    </row>
    <row r="180" spans="2:11" x14ac:dyDescent="0.25">
      <c r="B180" s="28" t="s">
        <v>342</v>
      </c>
      <c r="C180" s="6" t="s">
        <v>70</v>
      </c>
      <c r="D180" s="7">
        <v>350</v>
      </c>
      <c r="E180" s="44" t="s">
        <v>121</v>
      </c>
      <c r="F180" s="52" t="s">
        <v>84</v>
      </c>
      <c r="J180" s="71" t="s">
        <v>223</v>
      </c>
    </row>
    <row r="181" spans="2:11" x14ac:dyDescent="0.25">
      <c r="C181" s="9" t="s">
        <v>76</v>
      </c>
      <c r="D181" s="24">
        <v>0.56699999999999995</v>
      </c>
      <c r="E181" s="30" t="s">
        <v>61</v>
      </c>
      <c r="F181" s="11"/>
      <c r="J181" s="71" t="s">
        <v>223</v>
      </c>
      <c r="K181" t="s">
        <v>289</v>
      </c>
    </row>
    <row r="182" spans="2:11" x14ac:dyDescent="0.25">
      <c r="C182" s="9" t="s">
        <v>72</v>
      </c>
      <c r="D182" s="39">
        <f>D164/D181*D166</f>
        <v>36.145529768730867</v>
      </c>
      <c r="E182" s="30" t="s">
        <v>56</v>
      </c>
      <c r="F182" s="11"/>
      <c r="J182" s="71" t="s">
        <v>223</v>
      </c>
    </row>
    <row r="183" spans="2:11" x14ac:dyDescent="0.25">
      <c r="C183" s="9" t="s">
        <v>244</v>
      </c>
      <c r="D183" s="10">
        <f>D101</f>
        <v>140</v>
      </c>
      <c r="E183" s="30" t="s">
        <v>1</v>
      </c>
      <c r="F183" s="11"/>
      <c r="J183" s="71" t="s">
        <v>223</v>
      </c>
    </row>
    <row r="184" spans="2:11" x14ac:dyDescent="0.25">
      <c r="C184" s="9" t="s">
        <v>245</v>
      </c>
      <c r="D184" s="10">
        <f>1.84*D183</f>
        <v>257.60000000000002</v>
      </c>
      <c r="E184" s="30" t="s">
        <v>1</v>
      </c>
      <c r="F184" s="11"/>
      <c r="J184" s="71" t="s">
        <v>223</v>
      </c>
    </row>
    <row r="185" spans="2:11" x14ac:dyDescent="0.25">
      <c r="C185" s="9" t="s">
        <v>343</v>
      </c>
      <c r="D185" s="19">
        <f>(D182/1000)/((D183/1000*25/1000)*2+(D184/1000*25/1000)*2)</f>
        <v>1.8181856020488361</v>
      </c>
      <c r="E185" s="11" t="s">
        <v>52</v>
      </c>
      <c r="F185" s="11"/>
      <c r="J185" s="71" t="s">
        <v>223</v>
      </c>
    </row>
    <row r="186" spans="2:11" x14ac:dyDescent="0.25">
      <c r="C186" s="13" t="str">
        <f>"Gas velocity in chimney @ "&amp;D180&amp;"°"</f>
        <v>Gas velocity in chimney @ 350°</v>
      </c>
      <c r="D186" s="20">
        <f>D182/(((D101/100)/2)^2*PI())/10</f>
        <v>2.34805703402807</v>
      </c>
      <c r="E186" s="15" t="str">
        <f>"m/sec at "&amp;ROUND(D137/1000,1)&amp;" kW"</f>
        <v>m/sec at 39.1 kW</v>
      </c>
      <c r="F186" s="15"/>
      <c r="J186" s="71" t="s">
        <v>223</v>
      </c>
    </row>
    <row r="187" spans="2:11" x14ac:dyDescent="0.25">
      <c r="D187" s="2"/>
      <c r="J187" s="71" t="s">
        <v>223</v>
      </c>
      <c r="K187" s="4" t="s">
        <v>73</v>
      </c>
    </row>
    <row r="188" spans="2:11" x14ac:dyDescent="0.25">
      <c r="B188" s="29" t="s">
        <v>195</v>
      </c>
    </row>
    <row r="189" spans="2:11" x14ac:dyDescent="0.25">
      <c r="B189" s="29" t="s">
        <v>290</v>
      </c>
      <c r="C189" s="6" t="s">
        <v>281</v>
      </c>
      <c r="D189" s="16">
        <f>D57-D48</f>
        <v>91.199999999999989</v>
      </c>
      <c r="E189" s="8" t="s">
        <v>1</v>
      </c>
      <c r="I189" s="35" t="s">
        <v>180</v>
      </c>
    </row>
    <row r="190" spans="2:11" x14ac:dyDescent="0.25">
      <c r="B190" s="29"/>
      <c r="C190" s="9" t="s">
        <v>292</v>
      </c>
      <c r="D190" s="10">
        <f>D53</f>
        <v>1177.5</v>
      </c>
      <c r="E190" s="11" t="s">
        <v>1</v>
      </c>
      <c r="I190" s="35" t="str">
        <f>I53</f>
        <v>L1</v>
      </c>
    </row>
    <row r="191" spans="2:11" x14ac:dyDescent="0.25">
      <c r="B191" s="29"/>
      <c r="C191" s="9" t="s">
        <v>291</v>
      </c>
      <c r="D191" s="10">
        <f>D52</f>
        <v>1177.5</v>
      </c>
      <c r="E191" s="11" t="s">
        <v>1</v>
      </c>
      <c r="I191" s="35" t="str">
        <f>I52</f>
        <v>W3</v>
      </c>
    </row>
    <row r="192" spans="2:11" x14ac:dyDescent="0.25">
      <c r="B192" s="29"/>
      <c r="C192" s="9" t="s">
        <v>293</v>
      </c>
      <c r="D192" s="10">
        <f>D58</f>
        <v>223.85207738160048</v>
      </c>
      <c r="E192" s="11" t="s">
        <v>1</v>
      </c>
      <c r="I192" s="79" t="str">
        <f>I58</f>
        <v>W12</v>
      </c>
    </row>
    <row r="193" spans="2:11" x14ac:dyDescent="0.25">
      <c r="C193" s="9" t="s">
        <v>279</v>
      </c>
      <c r="D193" s="10">
        <f>D190-D194</f>
        <v>476.82396130919972</v>
      </c>
      <c r="E193" s="11" t="s">
        <v>1</v>
      </c>
      <c r="I193" s="35" t="s">
        <v>189</v>
      </c>
    </row>
    <row r="194" spans="2:11" x14ac:dyDescent="0.25">
      <c r="C194" s="9" t="s">
        <v>186</v>
      </c>
      <c r="D194" s="10">
        <f>D53/2+D58/2</f>
        <v>700.67603869080028</v>
      </c>
      <c r="E194" s="11" t="s">
        <v>1</v>
      </c>
      <c r="I194" s="35" t="s">
        <v>190</v>
      </c>
    </row>
    <row r="195" spans="2:11" x14ac:dyDescent="0.25">
      <c r="C195" s="9" t="s">
        <v>187</v>
      </c>
      <c r="D195" s="10">
        <f>D53/2+D58/2+15-D109-D110</f>
        <v>280.67603869080028</v>
      </c>
      <c r="E195" s="11" t="s">
        <v>1</v>
      </c>
      <c r="I195" s="35" t="s">
        <v>191</v>
      </c>
      <c r="J195" t="s">
        <v>280</v>
      </c>
    </row>
    <row r="196" spans="2:11" x14ac:dyDescent="0.25">
      <c r="C196" s="9" t="s">
        <v>188</v>
      </c>
      <c r="D196" s="10">
        <f>D194-D195</f>
        <v>420</v>
      </c>
      <c r="E196" s="11" t="s">
        <v>1</v>
      </c>
      <c r="I196" s="35" t="s">
        <v>192</v>
      </c>
      <c r="J196" t="s">
        <v>280</v>
      </c>
    </row>
    <row r="197" spans="2:11" x14ac:dyDescent="0.25">
      <c r="C197" s="13" t="s">
        <v>193</v>
      </c>
      <c r="D197" s="14">
        <f>(D190-D58)/2</f>
        <v>476.82396130919977</v>
      </c>
      <c r="E197" s="15" t="s">
        <v>1</v>
      </c>
      <c r="I197" s="35" t="s">
        <v>194</v>
      </c>
    </row>
    <row r="199" spans="2:11" x14ac:dyDescent="0.25">
      <c r="B199" s="29" t="s">
        <v>199</v>
      </c>
    </row>
    <row r="200" spans="2:11" x14ac:dyDescent="0.25">
      <c r="B200" s="29" t="s">
        <v>290</v>
      </c>
      <c r="C200" s="6" t="s">
        <v>284</v>
      </c>
      <c r="D200" s="16">
        <f>D189+D48+D39-5</f>
        <v>186.2</v>
      </c>
      <c r="E200" s="8" t="s">
        <v>1</v>
      </c>
      <c r="I200" s="35" t="s">
        <v>176</v>
      </c>
      <c r="K200" s="39">
        <f>D200-D189</f>
        <v>95</v>
      </c>
    </row>
    <row r="201" spans="2:11" x14ac:dyDescent="0.25">
      <c r="C201" s="9" t="s">
        <v>295</v>
      </c>
      <c r="D201" s="10">
        <f>D200</f>
        <v>186.2</v>
      </c>
      <c r="E201" s="11" t="s">
        <v>1</v>
      </c>
      <c r="I201" s="35" t="s">
        <v>145</v>
      </c>
    </row>
    <row r="202" spans="2:11" x14ac:dyDescent="0.25">
      <c r="C202" s="9" t="s">
        <v>296</v>
      </c>
      <c r="D202" s="10">
        <f>D65*D38+(D65-1)*D60</f>
        <v>725</v>
      </c>
      <c r="E202" s="11" t="s">
        <v>1</v>
      </c>
      <c r="I202" s="73" t="s">
        <v>196</v>
      </c>
      <c r="J202" t="s">
        <v>280</v>
      </c>
    </row>
    <row r="203" spans="2:11" x14ac:dyDescent="0.25">
      <c r="C203" s="9" t="s">
        <v>294</v>
      </c>
      <c r="D203" s="10">
        <f>D204+2*D41</f>
        <v>595.9</v>
      </c>
      <c r="E203" s="11" t="s">
        <v>1</v>
      </c>
      <c r="I203" s="73" t="s">
        <v>197</v>
      </c>
    </row>
    <row r="204" spans="2:11" x14ac:dyDescent="0.25">
      <c r="C204" s="13" t="s">
        <v>299</v>
      </c>
      <c r="D204" s="14">
        <f>D40+2*D48</f>
        <v>380</v>
      </c>
      <c r="E204" s="15" t="s">
        <v>1</v>
      </c>
      <c r="I204" s="73" t="s">
        <v>198</v>
      </c>
      <c r="J204" t="s">
        <v>280</v>
      </c>
    </row>
    <row r="206" spans="2:11" x14ac:dyDescent="0.25">
      <c r="B206" s="29" t="s">
        <v>200</v>
      </c>
    </row>
    <row r="207" spans="2:11" x14ac:dyDescent="0.25">
      <c r="B207" s="29" t="s">
        <v>290</v>
      </c>
      <c r="C207" s="6" t="s">
        <v>285</v>
      </c>
      <c r="D207" s="16">
        <f>D189+D200</f>
        <v>277.39999999999998</v>
      </c>
      <c r="E207" s="8" t="s">
        <v>1</v>
      </c>
      <c r="I207" s="35" t="s">
        <v>164</v>
      </c>
    </row>
    <row r="208" spans="2:11" x14ac:dyDescent="0.25">
      <c r="C208" s="9" t="s">
        <v>300</v>
      </c>
      <c r="D208" s="10">
        <f>D192+128</f>
        <v>351.85207738160045</v>
      </c>
      <c r="E208" s="11" t="s">
        <v>1</v>
      </c>
      <c r="I208" s="73" t="s">
        <v>201</v>
      </c>
      <c r="J208" t="s">
        <v>303</v>
      </c>
    </row>
    <row r="209" spans="2:10" x14ac:dyDescent="0.25">
      <c r="C209" s="9" t="s">
        <v>301</v>
      </c>
      <c r="D209" s="10">
        <f>D31+D48</f>
        <v>122.94999999999999</v>
      </c>
      <c r="E209" s="11" t="s">
        <v>1</v>
      </c>
      <c r="I209" s="73" t="s">
        <v>202</v>
      </c>
    </row>
    <row r="210" spans="2:10" x14ac:dyDescent="0.25">
      <c r="B210" t="s">
        <v>104</v>
      </c>
      <c r="C210" s="9" t="s">
        <v>306</v>
      </c>
      <c r="D210" s="10">
        <f>D77</f>
        <v>223.85207738160048</v>
      </c>
      <c r="E210" s="11" t="s">
        <v>1</v>
      </c>
      <c r="I210" s="35" t="str">
        <f>I77</f>
        <v>W10</v>
      </c>
    </row>
    <row r="211" spans="2:10" x14ac:dyDescent="0.25">
      <c r="C211" s="13" t="s">
        <v>302</v>
      </c>
      <c r="D211" s="14">
        <f>D194</f>
        <v>700.67603869080028</v>
      </c>
      <c r="E211" s="15" t="s">
        <v>1</v>
      </c>
      <c r="I211" s="73" t="s">
        <v>203</v>
      </c>
    </row>
    <row r="213" spans="2:10" x14ac:dyDescent="0.25">
      <c r="B213" s="29" t="s">
        <v>204</v>
      </c>
    </row>
    <row r="214" spans="2:10" x14ac:dyDescent="0.25">
      <c r="B214" s="29" t="s">
        <v>290</v>
      </c>
      <c r="C214" s="6" t="s">
        <v>304</v>
      </c>
      <c r="D214" s="16">
        <f>D207+D189</f>
        <v>368.59999999999997</v>
      </c>
      <c r="E214" s="8" t="s">
        <v>1</v>
      </c>
      <c r="I214" s="35" t="s">
        <v>159</v>
      </c>
    </row>
    <row r="215" spans="2:10" x14ac:dyDescent="0.25">
      <c r="C215" s="9" t="s">
        <v>308</v>
      </c>
      <c r="D215" s="10">
        <f>D214-D200</f>
        <v>182.39999999999998</v>
      </c>
      <c r="E215" s="11" t="s">
        <v>1</v>
      </c>
    </row>
    <row r="216" spans="2:10" x14ac:dyDescent="0.25">
      <c r="C216" s="13" t="s">
        <v>300</v>
      </c>
      <c r="D216" s="14">
        <f>D208</f>
        <v>351.85207738160045</v>
      </c>
      <c r="E216" s="15" t="s">
        <v>1</v>
      </c>
      <c r="I216" s="73" t="s">
        <v>142</v>
      </c>
    </row>
    <row r="218" spans="2:10" x14ac:dyDescent="0.25">
      <c r="B218" s="29" t="s">
        <v>205</v>
      </c>
    </row>
    <row r="219" spans="2:10" x14ac:dyDescent="0.25">
      <c r="B219" s="29" t="s">
        <v>290</v>
      </c>
      <c r="C219" s="6" t="s">
        <v>307</v>
      </c>
      <c r="D219" s="16">
        <f>D214+D189</f>
        <v>459.79999999999995</v>
      </c>
      <c r="E219" s="8" t="s">
        <v>1</v>
      </c>
      <c r="I219" s="73" t="s">
        <v>142</v>
      </c>
    </row>
    <row r="220" spans="2:10" x14ac:dyDescent="0.25">
      <c r="B220" s="29"/>
      <c r="C220" s="9" t="s">
        <v>300</v>
      </c>
      <c r="D220" s="10">
        <f>D216-148</f>
        <v>203.85207738160045</v>
      </c>
      <c r="E220" s="11" t="s">
        <v>1</v>
      </c>
      <c r="I220" s="73" t="s">
        <v>142</v>
      </c>
    </row>
    <row r="221" spans="2:10" x14ac:dyDescent="0.25">
      <c r="B221" s="29"/>
      <c r="C221" s="9" t="str">
        <f>C204</f>
        <v>Width to accommodate U-channels</v>
      </c>
      <c r="D221" s="39">
        <f>D204</f>
        <v>380</v>
      </c>
      <c r="E221" s="11" t="s">
        <v>1</v>
      </c>
      <c r="I221" s="73" t="s">
        <v>142</v>
      </c>
      <c r="J221" t="s">
        <v>104</v>
      </c>
    </row>
    <row r="222" spans="2:10" x14ac:dyDescent="0.25">
      <c r="B222" s="29"/>
      <c r="C222" s="9" t="s">
        <v>310</v>
      </c>
      <c r="D222" s="39">
        <f>D67</f>
        <v>476.82396130919983</v>
      </c>
      <c r="E222" s="11" t="s">
        <v>1</v>
      </c>
    </row>
    <row r="223" spans="2:10" x14ac:dyDescent="0.25">
      <c r="B223" s="29"/>
      <c r="C223" s="9" t="s">
        <v>319</v>
      </c>
      <c r="D223" s="39">
        <f>D215+3</f>
        <v>185.39999999999998</v>
      </c>
      <c r="E223" s="11" t="s">
        <v>1</v>
      </c>
    </row>
    <row r="224" spans="2:10" x14ac:dyDescent="0.25">
      <c r="B224" s="29"/>
      <c r="C224" s="9" t="s">
        <v>253</v>
      </c>
      <c r="D224" s="39">
        <f>D211-D222</f>
        <v>223.85207738160045</v>
      </c>
      <c r="E224" s="11" t="s">
        <v>1</v>
      </c>
    </row>
    <row r="225" spans="1:5" x14ac:dyDescent="0.25">
      <c r="B225" s="29"/>
      <c r="C225" s="13" t="s">
        <v>318</v>
      </c>
      <c r="D225" s="41">
        <f>D210</f>
        <v>223.85207738160048</v>
      </c>
      <c r="E225" s="15" t="s">
        <v>1</v>
      </c>
    </row>
    <row r="226" spans="1:5" x14ac:dyDescent="0.25">
      <c r="B226" s="29"/>
      <c r="D226" s="63"/>
    </row>
    <row r="227" spans="1:5" x14ac:dyDescent="0.25">
      <c r="B227" s="29" t="s">
        <v>305</v>
      </c>
    </row>
    <row r="228" spans="1:5" x14ac:dyDescent="0.25">
      <c r="B228" s="29" t="s">
        <v>290</v>
      </c>
      <c r="C228" s="6" t="s">
        <v>320</v>
      </c>
      <c r="D228" s="16">
        <f>D219+D189</f>
        <v>551</v>
      </c>
      <c r="E228" s="8" t="s">
        <v>1</v>
      </c>
    </row>
    <row r="229" spans="1:5" x14ac:dyDescent="0.25">
      <c r="C229" s="9" t="s">
        <v>321</v>
      </c>
      <c r="D229" s="10">
        <f>D228</f>
        <v>551</v>
      </c>
      <c r="E229" s="11" t="s">
        <v>1</v>
      </c>
    </row>
    <row r="230" spans="1:5" x14ac:dyDescent="0.25">
      <c r="C230" s="9" t="s">
        <v>344</v>
      </c>
      <c r="D230" s="39"/>
      <c r="E230" s="11"/>
    </row>
    <row r="231" spans="1:5" x14ac:dyDescent="0.25">
      <c r="C231" s="9" t="s">
        <v>332</v>
      </c>
      <c r="D231" s="39">
        <f>D232+2*D41+2*D48</f>
        <v>469.75207738160043</v>
      </c>
      <c r="E231" s="11" t="s">
        <v>1</v>
      </c>
    </row>
    <row r="232" spans="1:5" x14ac:dyDescent="0.25">
      <c r="A232" t="s">
        <v>104</v>
      </c>
      <c r="C232" s="9" t="s">
        <v>253</v>
      </c>
      <c r="D232" s="39">
        <f>D224</f>
        <v>223.85207738160045</v>
      </c>
      <c r="E232" s="11" t="s">
        <v>1</v>
      </c>
    </row>
    <row r="233" spans="1:5" x14ac:dyDescent="0.25">
      <c r="C233" s="9" t="s">
        <v>322</v>
      </c>
      <c r="D233" s="39">
        <f>D228-D200</f>
        <v>364.8</v>
      </c>
      <c r="E233" s="11" t="s">
        <v>1</v>
      </c>
    </row>
    <row r="234" spans="1:5" x14ac:dyDescent="0.25">
      <c r="C234" s="13" t="s">
        <v>323</v>
      </c>
      <c r="D234" s="41">
        <f>D233-D223+D41-D42</f>
        <v>211.15000000000003</v>
      </c>
      <c r="E234" s="15" t="s">
        <v>1</v>
      </c>
    </row>
    <row r="236" spans="1:5" x14ac:dyDescent="0.25">
      <c r="B236" s="29" t="s">
        <v>324</v>
      </c>
    </row>
    <row r="237" spans="1:5" x14ac:dyDescent="0.25">
      <c r="B237" s="29" t="s">
        <v>290</v>
      </c>
      <c r="C237" s="6" t="s">
        <v>325</v>
      </c>
      <c r="D237" s="16">
        <f>D228+D189</f>
        <v>642.20000000000005</v>
      </c>
      <c r="E237" s="8" t="s">
        <v>1</v>
      </c>
    </row>
    <row r="238" spans="1:5" x14ac:dyDescent="0.25">
      <c r="C238" s="9" t="s">
        <v>326</v>
      </c>
      <c r="D238" s="10">
        <f>D237+(D229-D228)</f>
        <v>642.20000000000005</v>
      </c>
      <c r="E238" s="11" t="s">
        <v>1</v>
      </c>
    </row>
    <row r="239" spans="1:5" x14ac:dyDescent="0.25">
      <c r="C239" s="9" t="s">
        <v>327</v>
      </c>
      <c r="D239" s="39">
        <f>D14+2*D84</f>
        <v>749</v>
      </c>
      <c r="E239" s="11" t="s">
        <v>1</v>
      </c>
    </row>
    <row r="240" spans="1:5" x14ac:dyDescent="0.25">
      <c r="C240" s="9" t="s">
        <v>328</v>
      </c>
      <c r="D240" s="39">
        <f>(D34*1.08)*2+D239</f>
        <v>946.20799999999997</v>
      </c>
      <c r="E240" s="11" t="s">
        <v>1</v>
      </c>
    </row>
    <row r="241" spans="2:5" x14ac:dyDescent="0.25">
      <c r="C241" s="13" t="s">
        <v>331</v>
      </c>
      <c r="D241" s="41">
        <f>D87-(2*D31)</f>
        <v>961.6</v>
      </c>
      <c r="E241" s="15" t="s">
        <v>1</v>
      </c>
    </row>
    <row r="243" spans="2:5" x14ac:dyDescent="0.25">
      <c r="B243" s="29" t="s">
        <v>380</v>
      </c>
    </row>
    <row r="244" spans="2:5" x14ac:dyDescent="0.25">
      <c r="B244" s="29" t="s">
        <v>290</v>
      </c>
      <c r="C244" s="6" t="s">
        <v>381</v>
      </c>
      <c r="D244" s="16">
        <f>D237+3*(D189)</f>
        <v>915.8</v>
      </c>
      <c r="E244" s="8" t="s">
        <v>1</v>
      </c>
    </row>
    <row r="245" spans="2:5" x14ac:dyDescent="0.25">
      <c r="C245" s="9" t="s">
        <v>345</v>
      </c>
      <c r="D245" s="10">
        <f>D244+D47</f>
        <v>918.8</v>
      </c>
      <c r="E245" s="11" t="s">
        <v>1</v>
      </c>
    </row>
    <row r="246" spans="2:5" x14ac:dyDescent="0.25">
      <c r="C246" s="9" t="s">
        <v>346</v>
      </c>
      <c r="D246" s="10">
        <f>D247+D24-4</f>
        <v>952.8</v>
      </c>
      <c r="E246" s="11" t="s">
        <v>1</v>
      </c>
    </row>
    <row r="247" spans="2:5" x14ac:dyDescent="0.25">
      <c r="C247" s="13" t="s">
        <v>347</v>
      </c>
      <c r="D247" s="14">
        <f>D237+3*(D189-3)</f>
        <v>906.8</v>
      </c>
      <c r="E247" s="15" t="s">
        <v>1</v>
      </c>
    </row>
    <row r="250" spans="2:5" x14ac:dyDescent="0.25">
      <c r="B250" t="s">
        <v>104</v>
      </c>
    </row>
  </sheetData>
  <conditionalFormatting sqref="L64">
    <cfRule type="cellIs" dxfId="5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12D88-754D-4FAC-A352-B760A408AFE1}">
  <dimension ref="A1:O247"/>
  <sheetViews>
    <sheetView topLeftCell="A219" zoomScale="130" zoomScaleNormal="130" workbookViewId="0">
      <selection activeCell="C37" sqref="C37"/>
    </sheetView>
  </sheetViews>
  <sheetFormatPr defaultRowHeight="15" x14ac:dyDescent="0.25"/>
  <cols>
    <col min="1" max="1" width="6" customWidth="1"/>
    <col min="2" max="2" width="30" customWidth="1"/>
    <col min="3" max="3" width="35.42578125" customWidth="1"/>
    <col min="4" max="4" width="19.42578125" style="4" bestFit="1" customWidth="1"/>
    <col min="5" max="5" width="17" customWidth="1"/>
    <col min="6" max="6" width="11" hidden="1" customWidth="1"/>
    <col min="7" max="7" width="9.140625" hidden="1" customWidth="1"/>
    <col min="8" max="8" width="56.28515625" hidden="1" customWidth="1"/>
    <col min="9" max="9" width="8" style="35" customWidth="1"/>
    <col min="10" max="10" width="9.140625" customWidth="1"/>
    <col min="11" max="12" width="7.5703125" customWidth="1"/>
    <col min="13" max="13" width="29.28515625" style="4" customWidth="1"/>
  </cols>
  <sheetData>
    <row r="1" spans="1:11" x14ac:dyDescent="0.25">
      <c r="A1" t="s">
        <v>104</v>
      </c>
    </row>
    <row r="2" spans="1:11" ht="18.75" x14ac:dyDescent="0.3">
      <c r="B2" s="1" t="str">
        <f>ROUNDDOWN(D10/50,0)*50&amp;" Litre MEMD Stove"</f>
        <v>200 Litre MEMD Stove</v>
      </c>
      <c r="C2" s="64" t="s">
        <v>217</v>
      </c>
      <c r="D2" s="35"/>
    </row>
    <row r="3" spans="1:11" ht="18.75" x14ac:dyDescent="0.3">
      <c r="B3" s="1"/>
      <c r="D3" s="35"/>
    </row>
    <row r="4" spans="1:11" x14ac:dyDescent="0.25">
      <c r="C4" t="s">
        <v>0</v>
      </c>
      <c r="D4" s="36">
        <v>45621</v>
      </c>
      <c r="E4" t="str">
        <f>Dimensions!F2</f>
        <v>Version 1.4</v>
      </c>
    </row>
    <row r="5" spans="1:11" x14ac:dyDescent="0.25">
      <c r="B5" s="69" t="s">
        <v>219</v>
      </c>
    </row>
    <row r="7" spans="1:11" x14ac:dyDescent="0.25">
      <c r="B7" s="29" t="s">
        <v>212</v>
      </c>
      <c r="D7"/>
      <c r="I7" s="35" t="s">
        <v>218</v>
      </c>
    </row>
    <row r="8" spans="1:11" x14ac:dyDescent="0.25">
      <c r="C8" s="6" t="s">
        <v>108</v>
      </c>
      <c r="D8" s="7">
        <v>730</v>
      </c>
      <c r="E8" s="8" t="s">
        <v>1</v>
      </c>
      <c r="I8" s="35" t="s">
        <v>131</v>
      </c>
      <c r="J8" s="71" t="s">
        <v>223</v>
      </c>
    </row>
    <row r="9" spans="1:11" x14ac:dyDescent="0.25">
      <c r="C9" s="9" t="s">
        <v>348</v>
      </c>
      <c r="D9" s="57">
        <f>D8*0.7</f>
        <v>510.99999999999994</v>
      </c>
      <c r="E9" s="11" t="s">
        <v>1</v>
      </c>
      <c r="I9" s="35" t="s">
        <v>132</v>
      </c>
      <c r="J9" s="71" t="s">
        <v>223</v>
      </c>
      <c r="K9" t="s">
        <v>359</v>
      </c>
    </row>
    <row r="10" spans="1:11" x14ac:dyDescent="0.25">
      <c r="C10" s="9" t="s">
        <v>89</v>
      </c>
      <c r="D10" s="10">
        <f>(D8/200)^2*PI()*D9/100</f>
        <v>213.87326613126959</v>
      </c>
      <c r="E10" s="11" t="s">
        <v>3</v>
      </c>
      <c r="I10" s="35" t="s">
        <v>170</v>
      </c>
      <c r="J10" s="71" t="s">
        <v>223</v>
      </c>
      <c r="K10" s="81">
        <f>D10/200-1</f>
        <v>6.9366330656347897E-2</v>
      </c>
    </row>
    <row r="11" spans="1:11" x14ac:dyDescent="0.25">
      <c r="C11" s="9" t="s">
        <v>105</v>
      </c>
      <c r="D11" s="18">
        <v>2</v>
      </c>
      <c r="E11" s="11" t="s">
        <v>1</v>
      </c>
      <c r="I11" s="35" t="s">
        <v>134</v>
      </c>
      <c r="J11" s="71" t="s">
        <v>223</v>
      </c>
    </row>
    <row r="12" spans="1:11" x14ac:dyDescent="0.25">
      <c r="C12" s="9" t="s">
        <v>106</v>
      </c>
      <c r="D12" s="18">
        <v>3</v>
      </c>
      <c r="E12" s="11" t="s">
        <v>1</v>
      </c>
      <c r="I12" s="35" t="s">
        <v>135</v>
      </c>
      <c r="J12" s="71" t="s">
        <v>223</v>
      </c>
    </row>
    <row r="13" spans="1:11" x14ac:dyDescent="0.25">
      <c r="C13" s="9" t="s">
        <v>224</v>
      </c>
      <c r="D13" s="18">
        <v>40</v>
      </c>
      <c r="E13" s="11" t="s">
        <v>1</v>
      </c>
      <c r="I13" s="35" t="s">
        <v>136</v>
      </c>
      <c r="J13" s="71" t="s">
        <v>223</v>
      </c>
    </row>
    <row r="14" spans="1:11" x14ac:dyDescent="0.25">
      <c r="C14" s="9" t="s">
        <v>107</v>
      </c>
      <c r="D14" s="10">
        <f>D8+2*D11</f>
        <v>734</v>
      </c>
      <c r="E14" s="11" t="s">
        <v>1</v>
      </c>
      <c r="J14" s="71"/>
    </row>
    <row r="15" spans="1:11" x14ac:dyDescent="0.25">
      <c r="C15" s="9" t="s">
        <v>229</v>
      </c>
      <c r="D15" s="10">
        <f>(D9+D12)*0.25</f>
        <v>128.5</v>
      </c>
      <c r="E15" s="11" t="s">
        <v>1</v>
      </c>
      <c r="I15" s="35" t="s">
        <v>151</v>
      </c>
      <c r="J15" s="71" t="s">
        <v>223</v>
      </c>
      <c r="K15" t="s">
        <v>236</v>
      </c>
    </row>
    <row r="16" spans="1:11" x14ac:dyDescent="0.25">
      <c r="C16" s="9" t="s">
        <v>234</v>
      </c>
      <c r="D16" s="10">
        <f>D8+2*D11</f>
        <v>734</v>
      </c>
      <c r="E16" s="11" t="s">
        <v>1</v>
      </c>
      <c r="I16" s="35" t="s">
        <v>133</v>
      </c>
      <c r="J16" s="71" t="s">
        <v>223</v>
      </c>
    </row>
    <row r="17" spans="2:10" x14ac:dyDescent="0.25">
      <c r="C17" s="9" t="s">
        <v>222</v>
      </c>
      <c r="D17" s="10">
        <f>D13*2+D16</f>
        <v>814</v>
      </c>
      <c r="E17" s="11" t="s">
        <v>1</v>
      </c>
      <c r="I17" s="35" t="s">
        <v>148</v>
      </c>
      <c r="J17" s="71" t="s">
        <v>223</v>
      </c>
    </row>
    <row r="18" spans="2:10" x14ac:dyDescent="0.25">
      <c r="C18" s="9" t="s">
        <v>183</v>
      </c>
      <c r="D18" s="10">
        <f>D9+D12</f>
        <v>514</v>
      </c>
      <c r="E18" s="11" t="s">
        <v>1</v>
      </c>
      <c r="I18" s="35" t="s">
        <v>184</v>
      </c>
      <c r="J18" s="71" t="s">
        <v>223</v>
      </c>
    </row>
    <row r="19" spans="2:10" x14ac:dyDescent="0.25">
      <c r="C19" s="60"/>
      <c r="D19" s="16"/>
      <c r="E19" s="60"/>
    </row>
    <row r="20" spans="2:10" x14ac:dyDescent="0.25">
      <c r="B20" s="29" t="s">
        <v>231</v>
      </c>
      <c r="D20" s="10"/>
    </row>
    <row r="21" spans="2:10" x14ac:dyDescent="0.25">
      <c r="C21" s="6" t="s">
        <v>230</v>
      </c>
      <c r="D21" s="40">
        <f>D16+2*D25</f>
        <v>747.14</v>
      </c>
      <c r="E21" s="8" t="s">
        <v>1</v>
      </c>
      <c r="I21" s="35" t="s">
        <v>147</v>
      </c>
      <c r="J21" s="71" t="s">
        <v>223</v>
      </c>
    </row>
    <row r="22" spans="2:10" x14ac:dyDescent="0.25">
      <c r="C22" s="9" t="s">
        <v>225</v>
      </c>
      <c r="D22" s="12">
        <v>5</v>
      </c>
      <c r="E22" s="11" t="s">
        <v>1</v>
      </c>
      <c r="I22" s="35" t="s">
        <v>139</v>
      </c>
      <c r="J22" s="71" t="s">
        <v>223</v>
      </c>
    </row>
    <row r="23" spans="2:10" x14ac:dyDescent="0.25">
      <c r="C23" s="9" t="s">
        <v>226</v>
      </c>
      <c r="D23" s="63">
        <f>D21+2*D22</f>
        <v>757.14</v>
      </c>
      <c r="E23" s="11" t="s">
        <v>1</v>
      </c>
      <c r="I23" s="35" t="s">
        <v>211</v>
      </c>
      <c r="J23" s="71" t="s">
        <v>223</v>
      </c>
    </row>
    <row r="24" spans="2:10" x14ac:dyDescent="0.25">
      <c r="B24" t="s">
        <v>368</v>
      </c>
      <c r="C24" s="9" t="s">
        <v>227</v>
      </c>
      <c r="D24" s="12">
        <v>50</v>
      </c>
      <c r="E24" s="11" t="s">
        <v>1</v>
      </c>
      <c r="I24" s="35" t="s">
        <v>152</v>
      </c>
      <c r="J24" s="71" t="s">
        <v>223</v>
      </c>
    </row>
    <row r="25" spans="2:10" x14ac:dyDescent="0.25">
      <c r="C25" s="9" t="s">
        <v>228</v>
      </c>
      <c r="D25" s="74">
        <f>D8*0.009</f>
        <v>6.5699999999999994</v>
      </c>
      <c r="E25" s="11" t="s">
        <v>1</v>
      </c>
      <c r="I25" s="35" t="s">
        <v>137</v>
      </c>
      <c r="J25" s="71" t="s">
        <v>223</v>
      </c>
    </row>
    <row r="26" spans="2:10" x14ac:dyDescent="0.25">
      <c r="C26" s="9" t="s">
        <v>232</v>
      </c>
      <c r="D26" s="74">
        <f>(D21+2*D22/3)*PI()</f>
        <v>2357.6815107150442</v>
      </c>
      <c r="E26" s="11" t="s">
        <v>1</v>
      </c>
      <c r="J26" s="71" t="s">
        <v>223</v>
      </c>
    </row>
    <row r="27" spans="2:10" x14ac:dyDescent="0.25">
      <c r="C27" s="9" t="s">
        <v>350</v>
      </c>
      <c r="D27" s="74">
        <f>D23*0.3</f>
        <v>227.142</v>
      </c>
      <c r="E27" s="11" t="s">
        <v>1</v>
      </c>
      <c r="J27" s="71"/>
    </row>
    <row r="28" spans="2:10" x14ac:dyDescent="0.25">
      <c r="C28" s="13" t="s">
        <v>335</v>
      </c>
      <c r="D28" s="77">
        <v>6</v>
      </c>
      <c r="E28" s="15" t="s">
        <v>1</v>
      </c>
      <c r="J28" s="71"/>
    </row>
    <row r="29" spans="2:10" x14ac:dyDescent="0.25">
      <c r="D29" s="21"/>
    </row>
    <row r="30" spans="2:10" x14ac:dyDescent="0.25">
      <c r="B30" s="29" t="s">
        <v>258</v>
      </c>
      <c r="D30"/>
    </row>
    <row r="31" spans="2:10" x14ac:dyDescent="0.25">
      <c r="B31" s="29"/>
      <c r="C31" s="6" t="s">
        <v>257</v>
      </c>
      <c r="D31" s="7">
        <f>25.4*4.25</f>
        <v>107.94999999999999</v>
      </c>
      <c r="E31" s="8" t="s">
        <v>1</v>
      </c>
      <c r="I31" s="35" t="s">
        <v>214</v>
      </c>
      <c r="J31" s="71" t="s">
        <v>223</v>
      </c>
    </row>
    <row r="32" spans="2:10" x14ac:dyDescent="0.25">
      <c r="B32" s="29"/>
      <c r="C32" s="9" t="s">
        <v>329</v>
      </c>
      <c r="D32" s="12">
        <f>25.4*3</f>
        <v>76.199999999999989</v>
      </c>
      <c r="E32" s="11" t="s">
        <v>1</v>
      </c>
      <c r="I32" s="35" t="s">
        <v>215</v>
      </c>
      <c r="J32" s="71" t="s">
        <v>223</v>
      </c>
    </row>
    <row r="33" spans="2:10" x14ac:dyDescent="0.25">
      <c r="B33" s="29"/>
      <c r="C33" s="9" t="s">
        <v>330</v>
      </c>
      <c r="D33" s="12">
        <f>25.4*9</f>
        <v>228.6</v>
      </c>
      <c r="E33" s="11" t="s">
        <v>1</v>
      </c>
      <c r="J33" s="71" t="s">
        <v>223</v>
      </c>
    </row>
    <row r="34" spans="2:10" x14ac:dyDescent="0.25">
      <c r="B34" s="29"/>
      <c r="C34" s="9" t="s">
        <v>259</v>
      </c>
      <c r="D34" s="12">
        <v>91.3</v>
      </c>
      <c r="E34" s="11" t="s">
        <v>1</v>
      </c>
      <c r="J34" s="71"/>
    </row>
    <row r="35" spans="2:10" x14ac:dyDescent="0.25">
      <c r="B35" s="29"/>
      <c r="C35" s="9" t="s">
        <v>260</v>
      </c>
      <c r="D35" s="12">
        <v>76.2</v>
      </c>
      <c r="E35" s="11" t="s">
        <v>1</v>
      </c>
      <c r="J35" s="71"/>
    </row>
    <row r="36" spans="2:10" x14ac:dyDescent="0.25">
      <c r="B36" s="29"/>
      <c r="C36" s="9" t="s">
        <v>261</v>
      </c>
      <c r="D36" s="12">
        <v>250.1</v>
      </c>
      <c r="E36" s="11" t="s">
        <v>1</v>
      </c>
      <c r="J36" s="71"/>
    </row>
    <row r="37" spans="2:10" x14ac:dyDescent="0.25">
      <c r="B37" s="29"/>
      <c r="C37" s="9"/>
      <c r="D37" s="12"/>
      <c r="E37" s="11"/>
      <c r="J37" s="71"/>
    </row>
    <row r="38" spans="2:10" x14ac:dyDescent="0.25">
      <c r="B38" s="29"/>
      <c r="C38" s="9" t="s">
        <v>267</v>
      </c>
      <c r="D38" s="12">
        <v>133</v>
      </c>
      <c r="E38" s="11" t="s">
        <v>1</v>
      </c>
      <c r="J38" s="71"/>
    </row>
    <row r="39" spans="2:10" x14ac:dyDescent="0.25">
      <c r="B39" s="29"/>
      <c r="C39" s="9" t="s">
        <v>268</v>
      </c>
      <c r="D39" s="12">
        <v>85</v>
      </c>
      <c r="E39" s="11" t="s">
        <v>1</v>
      </c>
      <c r="J39" s="71"/>
    </row>
    <row r="40" spans="2:10" x14ac:dyDescent="0.25">
      <c r="B40" s="29"/>
      <c r="C40" s="9" t="s">
        <v>269</v>
      </c>
      <c r="D40" s="12">
        <v>350</v>
      </c>
      <c r="E40" s="11" t="s">
        <v>1</v>
      </c>
      <c r="J40" s="71"/>
    </row>
    <row r="41" spans="2:10" x14ac:dyDescent="0.25">
      <c r="B41" s="29"/>
      <c r="C41" s="9" t="s">
        <v>270</v>
      </c>
      <c r="D41" s="12">
        <f>4.25*25.4</f>
        <v>107.94999999999999</v>
      </c>
      <c r="E41" s="11" t="s">
        <v>1</v>
      </c>
      <c r="J41" s="71"/>
    </row>
    <row r="42" spans="2:10" x14ac:dyDescent="0.25">
      <c r="B42" s="29"/>
      <c r="C42" s="9" t="s">
        <v>271</v>
      </c>
      <c r="D42" s="12">
        <f>3*25.4</f>
        <v>76.199999999999989</v>
      </c>
      <c r="E42" s="11" t="s">
        <v>1</v>
      </c>
      <c r="J42" s="71"/>
    </row>
    <row r="43" spans="2:10" x14ac:dyDescent="0.25">
      <c r="B43" s="29"/>
      <c r="C43" s="9" t="s">
        <v>272</v>
      </c>
      <c r="D43" s="12">
        <f>9*25.4</f>
        <v>228.6</v>
      </c>
      <c r="E43" s="11" t="s">
        <v>1</v>
      </c>
      <c r="J43" s="71"/>
    </row>
    <row r="44" spans="2:10" x14ac:dyDescent="0.25">
      <c r="B44" s="29"/>
      <c r="C44" s="9" t="s">
        <v>262</v>
      </c>
      <c r="D44" s="12">
        <f>4.25*25.4</f>
        <v>107.94999999999999</v>
      </c>
      <c r="E44" s="11" t="s">
        <v>1</v>
      </c>
      <c r="J44" s="71"/>
    </row>
    <row r="45" spans="2:10" x14ac:dyDescent="0.25">
      <c r="B45" s="29"/>
      <c r="C45" s="9" t="s">
        <v>264</v>
      </c>
      <c r="D45" s="12">
        <f>3*25.4</f>
        <v>76.199999999999989</v>
      </c>
      <c r="E45" s="11" t="s">
        <v>1</v>
      </c>
      <c r="J45" s="71"/>
    </row>
    <row r="46" spans="2:10" x14ac:dyDescent="0.25">
      <c r="B46" s="29"/>
      <c r="C46" s="9" t="s">
        <v>263</v>
      </c>
      <c r="D46" s="12">
        <f>9*25.4</f>
        <v>228.6</v>
      </c>
      <c r="E46" s="11" t="s">
        <v>1</v>
      </c>
      <c r="J46" s="71"/>
    </row>
    <row r="47" spans="2:10" x14ac:dyDescent="0.25">
      <c r="B47" s="29"/>
      <c r="C47" s="9" t="s">
        <v>373</v>
      </c>
      <c r="D47" s="12">
        <v>3</v>
      </c>
      <c r="E47" s="11" t="s">
        <v>1</v>
      </c>
      <c r="J47" s="71"/>
    </row>
    <row r="48" spans="2:10" x14ac:dyDescent="0.25">
      <c r="B48" s="29"/>
      <c r="C48" s="13" t="s">
        <v>282</v>
      </c>
      <c r="D48" s="77">
        <v>15</v>
      </c>
      <c r="E48" s="15" t="s">
        <v>283</v>
      </c>
      <c r="J48" s="71"/>
    </row>
    <row r="49" spans="2:15" x14ac:dyDescent="0.25">
      <c r="B49" s="29"/>
      <c r="D49"/>
      <c r="J49" s="71"/>
    </row>
    <row r="50" spans="2:15" x14ac:dyDescent="0.25">
      <c r="B50" s="29" t="s">
        <v>367</v>
      </c>
      <c r="D50"/>
      <c r="J50" s="71"/>
    </row>
    <row r="51" spans="2:15" x14ac:dyDescent="0.25">
      <c r="C51" s="6" t="s">
        <v>372</v>
      </c>
      <c r="D51" s="45">
        <f>D98+D79+D81+D57+D39</f>
        <v>1005.3225974742577</v>
      </c>
      <c r="E51" s="8" t="s">
        <v>1</v>
      </c>
      <c r="I51" s="35" t="s">
        <v>153</v>
      </c>
    </row>
    <row r="52" spans="2:15" x14ac:dyDescent="0.25">
      <c r="C52" s="9" t="s">
        <v>125</v>
      </c>
      <c r="D52" s="43">
        <f>D85+(D31*2)+(D34)*2+D48*2</f>
        <v>1242.5</v>
      </c>
      <c r="E52" s="11" t="s">
        <v>1</v>
      </c>
      <c r="I52" s="35" t="s">
        <v>140</v>
      </c>
      <c r="J52" s="71" t="s">
        <v>223</v>
      </c>
    </row>
    <row r="53" spans="2:15" x14ac:dyDescent="0.25">
      <c r="C53" s="9" t="s">
        <v>126</v>
      </c>
      <c r="D53" s="43">
        <f>D85+(D31*2)+(D34)*2+D48*2</f>
        <v>1242.5</v>
      </c>
      <c r="E53" s="11" t="s">
        <v>1</v>
      </c>
      <c r="I53" s="35" t="s">
        <v>160</v>
      </c>
      <c r="J53" s="71" t="s">
        <v>223</v>
      </c>
    </row>
    <row r="54" spans="2:15" x14ac:dyDescent="0.25">
      <c r="C54" s="13" t="s">
        <v>265</v>
      </c>
      <c r="D54" s="41">
        <f>D57</f>
        <v>106.19999999999999</v>
      </c>
      <c r="E54" s="15" t="s">
        <v>1</v>
      </c>
      <c r="I54" s="35" t="s">
        <v>237</v>
      </c>
    </row>
    <row r="55" spans="2:15" x14ac:dyDescent="0.25">
      <c r="D55" s="39"/>
    </row>
    <row r="56" spans="2:15" x14ac:dyDescent="0.25">
      <c r="B56" s="29" t="s">
        <v>255</v>
      </c>
      <c r="H56" s="26"/>
    </row>
    <row r="57" spans="2:15" x14ac:dyDescent="0.25">
      <c r="C57" s="6" t="s">
        <v>256</v>
      </c>
      <c r="D57" s="45">
        <f>IF(D77/2.6 &lt;D42+2*D48, D42+2*D48,D77/2.6)</f>
        <v>106.19999999999999</v>
      </c>
      <c r="E57" s="8" t="s">
        <v>1</v>
      </c>
      <c r="H57" s="26"/>
      <c r="I57" s="35" t="s">
        <v>180</v>
      </c>
      <c r="J57" s="71" t="s">
        <v>223</v>
      </c>
    </row>
    <row r="58" spans="2:15" x14ac:dyDescent="0.25">
      <c r="C58" s="9" t="s">
        <v>238</v>
      </c>
      <c r="D58" s="39">
        <f>D80</f>
        <v>245.49492977688882</v>
      </c>
      <c r="E58" s="11" t="s">
        <v>1</v>
      </c>
      <c r="H58" s="26"/>
      <c r="I58" s="35" t="s">
        <v>171</v>
      </c>
      <c r="J58" s="71" t="s">
        <v>223</v>
      </c>
    </row>
    <row r="59" spans="2:15" x14ac:dyDescent="0.25">
      <c r="C59" s="9" t="s">
        <v>286</v>
      </c>
      <c r="D59" s="10">
        <f>(D53-D80)/2+D80</f>
        <v>743.99746488844437</v>
      </c>
      <c r="E59" s="11" t="s">
        <v>1</v>
      </c>
      <c r="H59" s="26"/>
      <c r="I59" s="73" t="s">
        <v>149</v>
      </c>
      <c r="J59" s="78" t="s">
        <v>287</v>
      </c>
      <c r="K59" s="72" t="s">
        <v>288</v>
      </c>
    </row>
    <row r="60" spans="2:15" x14ac:dyDescent="0.25">
      <c r="C60" s="9" t="s">
        <v>337</v>
      </c>
      <c r="D60" s="12">
        <v>15</v>
      </c>
      <c r="E60" s="11" t="s">
        <v>1</v>
      </c>
      <c r="H60" s="26"/>
      <c r="I60" s="35" t="s">
        <v>169</v>
      </c>
      <c r="J60" s="71"/>
    </row>
    <row r="61" spans="2:15" x14ac:dyDescent="0.25">
      <c r="C61" s="13" t="s">
        <v>338</v>
      </c>
      <c r="D61" s="14">
        <f>D40+24</f>
        <v>374</v>
      </c>
      <c r="E61" s="15" t="s">
        <v>1</v>
      </c>
      <c r="H61" s="26"/>
      <c r="I61" s="35" t="s">
        <v>172</v>
      </c>
      <c r="J61" s="71" t="s">
        <v>223</v>
      </c>
    </row>
    <row r="62" spans="2:15" x14ac:dyDescent="0.25">
      <c r="D62" s="10"/>
      <c r="H62" s="26"/>
    </row>
    <row r="63" spans="2:15" x14ac:dyDescent="0.25">
      <c r="B63" s="29" t="s">
        <v>315</v>
      </c>
      <c r="D63" s="10"/>
      <c r="H63" s="26"/>
      <c r="J63" s="6" t="s">
        <v>361</v>
      </c>
      <c r="K63" s="60" t="s">
        <v>363</v>
      </c>
      <c r="L63" s="60" t="s">
        <v>362</v>
      </c>
      <c r="M63" s="16" t="s">
        <v>364</v>
      </c>
      <c r="N63" s="60"/>
      <c r="O63" s="8"/>
    </row>
    <row r="64" spans="2:15" x14ac:dyDescent="0.25">
      <c r="B64" s="29"/>
      <c r="C64" s="6" t="s">
        <v>336</v>
      </c>
      <c r="D64" s="16">
        <f>ROUNDDOWN((D67-D31-D48)/D38,1)</f>
        <v>2.8</v>
      </c>
      <c r="E64" s="8"/>
      <c r="H64" s="26"/>
      <c r="J64" s="32">
        <f>D64*D38</f>
        <v>372.4</v>
      </c>
      <c r="K64" s="39">
        <f>D67</f>
        <v>498.50253511155552</v>
      </c>
      <c r="L64" s="39">
        <f>-(J64-K64)-D31-D48</f>
        <v>3.1525351115555509</v>
      </c>
      <c r="M64" s="10" t="str">
        <f>IF(L64&gt;0,"Spare","Interference")</f>
        <v>Spare</v>
      </c>
      <c r="O64" s="11"/>
    </row>
    <row r="65" spans="2:15" x14ac:dyDescent="0.25">
      <c r="B65" s="29"/>
      <c r="C65" s="9" t="s">
        <v>358</v>
      </c>
      <c r="D65" s="10">
        <f>ROUNDUP(D194/(D38+D60),0)</f>
        <v>6</v>
      </c>
      <c r="E65" s="11"/>
      <c r="H65" s="26"/>
      <c r="J65" s="34">
        <f>D65*(D38+D60)-D60</f>
        <v>873</v>
      </c>
      <c r="K65" s="41">
        <f>D66</f>
        <v>743.99746488844437</v>
      </c>
      <c r="L65" s="41">
        <f>J65-K65</f>
        <v>129.00253511155563</v>
      </c>
      <c r="M65" s="61" t="s">
        <v>360</v>
      </c>
      <c r="N65" s="61"/>
      <c r="O65" s="15"/>
    </row>
    <row r="66" spans="2:15" x14ac:dyDescent="0.25">
      <c r="C66" s="9" t="s">
        <v>316</v>
      </c>
      <c r="D66" s="10">
        <f>(D53-D80)/2+D80</f>
        <v>743.99746488844437</v>
      </c>
      <c r="E66" s="11" t="s">
        <v>1</v>
      </c>
      <c r="H66" s="26"/>
      <c r="J66" s="71"/>
    </row>
    <row r="67" spans="2:15" x14ac:dyDescent="0.25">
      <c r="C67" s="9" t="s">
        <v>317</v>
      </c>
      <c r="D67" s="10">
        <f>D194-D80</f>
        <v>498.50253511155552</v>
      </c>
      <c r="E67" s="11" t="s">
        <v>1</v>
      </c>
      <c r="H67" s="26"/>
      <c r="J67" s="71"/>
    </row>
    <row r="68" spans="2:15" x14ac:dyDescent="0.25">
      <c r="B68" t="s">
        <v>104</v>
      </c>
      <c r="C68" s="9" t="s">
        <v>109</v>
      </c>
      <c r="D68" s="10">
        <f>D77</f>
        <v>245.49492977688882</v>
      </c>
      <c r="E68" s="11" t="s">
        <v>1</v>
      </c>
      <c r="H68" s="26"/>
      <c r="I68" s="35" t="s">
        <v>145</v>
      </c>
      <c r="J68" s="71" t="s">
        <v>223</v>
      </c>
    </row>
    <row r="69" spans="2:15" x14ac:dyDescent="0.25">
      <c r="C69" s="13" t="s">
        <v>129</v>
      </c>
      <c r="D69" s="14">
        <f>D81</f>
        <v>164.48160295051551</v>
      </c>
      <c r="E69" s="15" t="s">
        <v>1</v>
      </c>
      <c r="H69" s="26"/>
      <c r="I69" s="35" t="s">
        <v>179</v>
      </c>
      <c r="J69" s="71" t="s">
        <v>223</v>
      </c>
    </row>
    <row r="70" spans="2:15" x14ac:dyDescent="0.25">
      <c r="D70" s="39"/>
    </row>
    <row r="71" spans="2:15" x14ac:dyDescent="0.25">
      <c r="B71" s="53" t="s">
        <v>177</v>
      </c>
    </row>
    <row r="72" spans="2:15" x14ac:dyDescent="0.25">
      <c r="C72" s="6" t="s">
        <v>266</v>
      </c>
      <c r="D72" s="56">
        <f>D96+D79+D81</f>
        <v>444.34582289616878</v>
      </c>
      <c r="E72" s="8" t="s">
        <v>1</v>
      </c>
      <c r="I72" s="35" t="s">
        <v>156</v>
      </c>
    </row>
    <row r="73" spans="2:15" x14ac:dyDescent="0.25">
      <c r="C73" s="13" t="s">
        <v>178</v>
      </c>
      <c r="D73" s="42">
        <f>D96+D79+D81+D57</f>
        <v>550.54582289616883</v>
      </c>
      <c r="E73" s="15" t="s">
        <v>1</v>
      </c>
      <c r="I73" s="35" t="s">
        <v>157</v>
      </c>
      <c r="J73" t="s">
        <v>280</v>
      </c>
    </row>
    <row r="74" spans="2:15" x14ac:dyDescent="0.25">
      <c r="D74" s="39"/>
    </row>
    <row r="75" spans="2:15" x14ac:dyDescent="0.25">
      <c r="B75" s="29" t="s">
        <v>309</v>
      </c>
      <c r="D75" s="10"/>
      <c r="H75" s="26"/>
    </row>
    <row r="76" spans="2:15" ht="17.25" x14ac:dyDescent="0.25">
      <c r="C76" s="6" t="s">
        <v>123</v>
      </c>
      <c r="D76" s="7">
        <v>65</v>
      </c>
      <c r="E76" s="8" t="s">
        <v>85</v>
      </c>
      <c r="H76" s="26"/>
      <c r="J76" s="71" t="s">
        <v>223</v>
      </c>
      <c r="K76" t="s">
        <v>239</v>
      </c>
    </row>
    <row r="77" spans="2:15" x14ac:dyDescent="0.25">
      <c r="C77" s="9" t="s">
        <v>110</v>
      </c>
      <c r="D77" s="10">
        <f>SQRT(D137/D76*82.5)</f>
        <v>245.49492977688882</v>
      </c>
      <c r="E77" s="11" t="s">
        <v>1</v>
      </c>
      <c r="H77" s="26"/>
      <c r="I77" s="35" t="s">
        <v>144</v>
      </c>
      <c r="J77" s="71" t="s">
        <v>223</v>
      </c>
    </row>
    <row r="78" spans="2:15" x14ac:dyDescent="0.25">
      <c r="B78" t="s">
        <v>104</v>
      </c>
      <c r="C78" s="9" t="s">
        <v>369</v>
      </c>
      <c r="D78" s="10">
        <f>D77+2*D42+2*D48</f>
        <v>427.89492977688883</v>
      </c>
      <c r="E78" s="11" t="s">
        <v>1</v>
      </c>
      <c r="H78" s="26"/>
      <c r="J78" s="71"/>
    </row>
    <row r="79" spans="2:15" x14ac:dyDescent="0.25">
      <c r="C79" s="9" t="s">
        <v>252</v>
      </c>
      <c r="D79" s="10">
        <f>D77*0.79</f>
        <v>193.94099452374218</v>
      </c>
      <c r="E79" s="11" t="s">
        <v>1</v>
      </c>
      <c r="H79" s="26"/>
      <c r="I79" s="35" t="s">
        <v>164</v>
      </c>
      <c r="J79" s="71" t="s">
        <v>223</v>
      </c>
      <c r="K79" s="76"/>
    </row>
    <row r="80" spans="2:15" x14ac:dyDescent="0.25">
      <c r="C80" s="9" t="s">
        <v>253</v>
      </c>
      <c r="D80" s="10">
        <f>D77</f>
        <v>245.49492977688882</v>
      </c>
      <c r="E80" s="11" t="s">
        <v>1</v>
      </c>
      <c r="H80" s="26"/>
      <c r="I80" s="35" t="s">
        <v>167</v>
      </c>
      <c r="J80" s="71" t="s">
        <v>223</v>
      </c>
      <c r="K80" s="75"/>
    </row>
    <row r="81" spans="2:13" x14ac:dyDescent="0.25">
      <c r="C81" s="13" t="s">
        <v>254</v>
      </c>
      <c r="D81" s="14">
        <f>D77*0.67</f>
        <v>164.48160295051551</v>
      </c>
      <c r="E81" s="15" t="s">
        <v>1</v>
      </c>
      <c r="H81" s="26"/>
      <c r="I81" s="35" t="s">
        <v>176</v>
      </c>
      <c r="J81" s="71" t="s">
        <v>223</v>
      </c>
      <c r="K81" s="76"/>
    </row>
    <row r="83" spans="2:13" x14ac:dyDescent="0.25">
      <c r="B83" s="29" t="s">
        <v>119</v>
      </c>
      <c r="D83"/>
    </row>
    <row r="84" spans="2:13" x14ac:dyDescent="0.25">
      <c r="C84" s="6" t="s">
        <v>233</v>
      </c>
      <c r="D84" s="7">
        <v>40</v>
      </c>
      <c r="E84" s="8" t="s">
        <v>1</v>
      </c>
      <c r="I84" s="35" t="s">
        <v>138</v>
      </c>
      <c r="J84" s="71" t="s">
        <v>223</v>
      </c>
    </row>
    <row r="85" spans="2:13" x14ac:dyDescent="0.25">
      <c r="C85" s="9" t="s">
        <v>235</v>
      </c>
      <c r="D85" s="39">
        <f>D84*2+D16</f>
        <v>814</v>
      </c>
      <c r="E85" s="11" t="s">
        <v>1</v>
      </c>
      <c r="I85" s="35" t="s">
        <v>165</v>
      </c>
      <c r="J85" s="71" t="s">
        <v>223</v>
      </c>
    </row>
    <row r="86" spans="2:13" x14ac:dyDescent="0.25">
      <c r="C86" s="9" t="s">
        <v>120</v>
      </c>
      <c r="D86" s="39">
        <f>(D9+D12)-D15+D42-D28</f>
        <v>455.7</v>
      </c>
      <c r="E86" s="11" t="s">
        <v>1</v>
      </c>
      <c r="I86" s="35" t="s">
        <v>154</v>
      </c>
      <c r="J86" s="71" t="s">
        <v>223</v>
      </c>
      <c r="K86" s="76"/>
    </row>
    <row r="87" spans="2:13" x14ac:dyDescent="0.25">
      <c r="C87" s="9" t="s">
        <v>174</v>
      </c>
      <c r="D87" s="43">
        <f>D52</f>
        <v>1242.5</v>
      </c>
      <c r="E87" s="11" t="s">
        <v>1</v>
      </c>
      <c r="I87" s="35" t="s">
        <v>141</v>
      </c>
      <c r="J87" s="71" t="s">
        <v>223</v>
      </c>
    </row>
    <row r="88" spans="2:13" x14ac:dyDescent="0.25">
      <c r="C88" s="9" t="s">
        <v>173</v>
      </c>
      <c r="D88" s="10">
        <f>D87</f>
        <v>1242.5</v>
      </c>
      <c r="E88" s="11" t="s">
        <v>1</v>
      </c>
      <c r="I88" s="35" t="s">
        <v>161</v>
      </c>
      <c r="J88" s="71" t="s">
        <v>223</v>
      </c>
    </row>
    <row r="89" spans="2:13" x14ac:dyDescent="0.25">
      <c r="C89" s="9" t="s">
        <v>175</v>
      </c>
      <c r="D89" s="43">
        <f>D86</f>
        <v>455.7</v>
      </c>
      <c r="E89" s="11" t="s">
        <v>1</v>
      </c>
      <c r="I89" s="35" t="s">
        <v>155</v>
      </c>
      <c r="J89" s="71" t="s">
        <v>223</v>
      </c>
    </row>
    <row r="90" spans="2:13" x14ac:dyDescent="0.25">
      <c r="C90" s="13" t="s">
        <v>213</v>
      </c>
      <c r="D90" s="42">
        <f>(D52-D85)/2</f>
        <v>214.25</v>
      </c>
      <c r="E90" s="15" t="s">
        <v>1</v>
      </c>
      <c r="I90" s="35" t="s">
        <v>216</v>
      </c>
      <c r="J90" s="71" t="s">
        <v>223</v>
      </c>
    </row>
    <row r="91" spans="2:13" x14ac:dyDescent="0.25">
      <c r="D91" s="43"/>
    </row>
    <row r="92" spans="2:13" x14ac:dyDescent="0.25">
      <c r="B92" s="29" t="s">
        <v>311</v>
      </c>
      <c r="D92" s="26"/>
    </row>
    <row r="93" spans="2:13" x14ac:dyDescent="0.25">
      <c r="B93" s="29"/>
      <c r="C93" s="6" t="s">
        <v>353</v>
      </c>
      <c r="D93" s="45">
        <f>(D94*2+2*D95)/(D14*PI())*D96</f>
        <v>36.59040000000001</v>
      </c>
      <c r="E93" s="8" t="s">
        <v>1</v>
      </c>
      <c r="I93" s="35" t="s">
        <v>158</v>
      </c>
      <c r="J93" s="71" t="s">
        <v>223</v>
      </c>
    </row>
    <row r="94" spans="2:13" x14ac:dyDescent="0.25">
      <c r="C94" s="9" t="s">
        <v>312</v>
      </c>
      <c r="D94" s="10">
        <f>D77</f>
        <v>245.49492977688882</v>
      </c>
      <c r="E94" s="11" t="s">
        <v>1</v>
      </c>
      <c r="I94" s="73" t="s">
        <v>142</v>
      </c>
    </row>
    <row r="95" spans="2:13" x14ac:dyDescent="0.25">
      <c r="C95" s="9" t="s">
        <v>313</v>
      </c>
      <c r="D95" s="10">
        <f>D80</f>
        <v>245.49492977688882</v>
      </c>
      <c r="E95" s="11" t="s">
        <v>1</v>
      </c>
      <c r="I95" s="73" t="s">
        <v>143</v>
      </c>
      <c r="M95" s="4" t="s">
        <v>104</v>
      </c>
    </row>
    <row r="96" spans="2:13" x14ac:dyDescent="0.25">
      <c r="C96" s="9" t="s">
        <v>314</v>
      </c>
      <c r="D96" s="10">
        <f>D94*0.35</f>
        <v>85.923225421911084</v>
      </c>
      <c r="E96" s="11" t="s">
        <v>1</v>
      </c>
      <c r="I96" s="35" t="s">
        <v>159</v>
      </c>
    </row>
    <row r="97" spans="2:11" x14ac:dyDescent="0.25">
      <c r="C97" s="9" t="s">
        <v>354</v>
      </c>
      <c r="D97" s="10">
        <f>D14+2*D84</f>
        <v>814</v>
      </c>
      <c r="E97" s="11" t="s">
        <v>1</v>
      </c>
    </row>
    <row r="98" spans="2:11" x14ac:dyDescent="0.25">
      <c r="C98" s="13" t="s">
        <v>355</v>
      </c>
      <c r="D98" s="14">
        <f>(D9+D12)-D15+D42-D28</f>
        <v>455.7</v>
      </c>
      <c r="E98" s="15" t="s">
        <v>1</v>
      </c>
    </row>
    <row r="100" spans="2:11" x14ac:dyDescent="0.25">
      <c r="B100" s="29" t="s">
        <v>71</v>
      </c>
      <c r="D100" s="26"/>
    </row>
    <row r="101" spans="2:11" x14ac:dyDescent="0.25">
      <c r="C101" s="6" t="s">
        <v>206</v>
      </c>
      <c r="D101" s="7">
        <v>152</v>
      </c>
      <c r="E101" s="8" t="s">
        <v>1</v>
      </c>
      <c r="F101" s="11"/>
      <c r="I101" s="35" t="s">
        <v>185</v>
      </c>
      <c r="J101" s="71" t="s">
        <v>223</v>
      </c>
    </row>
    <row r="102" spans="2:11" x14ac:dyDescent="0.25">
      <c r="C102" s="9" t="s">
        <v>209</v>
      </c>
      <c r="D102" s="18">
        <v>1.6</v>
      </c>
      <c r="E102" s="11" t="s">
        <v>1</v>
      </c>
      <c r="I102" s="35" t="s">
        <v>210</v>
      </c>
      <c r="J102" s="71" t="s">
        <v>223</v>
      </c>
    </row>
    <row r="103" spans="2:11" x14ac:dyDescent="0.25">
      <c r="C103" s="9" t="s">
        <v>207</v>
      </c>
      <c r="D103" s="39">
        <f>D101-2*D102</f>
        <v>148.80000000000001</v>
      </c>
      <c r="E103" s="11" t="s">
        <v>1</v>
      </c>
      <c r="I103" s="35" t="s">
        <v>208</v>
      </c>
      <c r="J103" s="71" t="s">
        <v>223</v>
      </c>
    </row>
    <row r="104" spans="2:11" x14ac:dyDescent="0.25">
      <c r="C104" s="9" t="s">
        <v>351</v>
      </c>
      <c r="D104" s="39">
        <f>1.45*D101</f>
        <v>220.4</v>
      </c>
      <c r="E104" s="11" t="s">
        <v>1</v>
      </c>
      <c r="J104" s="71"/>
    </row>
    <row r="105" spans="2:11" x14ac:dyDescent="0.25">
      <c r="C105" s="9" t="s">
        <v>352</v>
      </c>
      <c r="D105" s="39">
        <f>1.12*D101</f>
        <v>170.24</v>
      </c>
      <c r="E105" s="11" t="s">
        <v>1</v>
      </c>
      <c r="J105" s="71"/>
    </row>
    <row r="106" spans="2:11" x14ac:dyDescent="0.25">
      <c r="C106" s="13" t="s">
        <v>275</v>
      </c>
      <c r="D106" s="59">
        <f>D186</f>
        <v>2.4160711017004557</v>
      </c>
      <c r="E106" s="15" t="s">
        <v>52</v>
      </c>
      <c r="I106" s="68" t="s">
        <v>128</v>
      </c>
    </row>
    <row r="107" spans="2:11" x14ac:dyDescent="0.25">
      <c r="D107" s="43"/>
    </row>
    <row r="108" spans="2:11" x14ac:dyDescent="0.25">
      <c r="B108" s="29" t="s">
        <v>241</v>
      </c>
      <c r="D108" s="10"/>
      <c r="H108" s="26"/>
    </row>
    <row r="109" spans="2:11" x14ac:dyDescent="0.25">
      <c r="B109" s="28"/>
      <c r="C109" s="6" t="s">
        <v>273</v>
      </c>
      <c r="D109" s="16">
        <f>D40</f>
        <v>350</v>
      </c>
      <c r="E109" s="8" t="s">
        <v>1</v>
      </c>
      <c r="H109" s="26"/>
      <c r="I109" s="35" t="s">
        <v>168</v>
      </c>
      <c r="J109" s="71" t="s">
        <v>223</v>
      </c>
    </row>
    <row r="110" spans="2:11" x14ac:dyDescent="0.25">
      <c r="B110" s="28"/>
      <c r="C110" s="9" t="s">
        <v>240</v>
      </c>
      <c r="D110" s="10">
        <f>D39</f>
        <v>85</v>
      </c>
      <c r="E110" s="11" t="s">
        <v>1</v>
      </c>
      <c r="H110" s="26"/>
      <c r="I110" s="35" t="s">
        <v>146</v>
      </c>
      <c r="J110" s="71" t="s">
        <v>223</v>
      </c>
      <c r="K110" s="76"/>
    </row>
    <row r="111" spans="2:11" ht="17.25" x14ac:dyDescent="0.25">
      <c r="B111" s="28"/>
      <c r="C111" s="9" t="s">
        <v>274</v>
      </c>
      <c r="D111" s="10">
        <f>D113/D112</f>
        <v>3682.4239466533318</v>
      </c>
      <c r="E111" s="11" t="s">
        <v>90</v>
      </c>
      <c r="H111" s="26"/>
      <c r="I111" s="35" t="s">
        <v>163</v>
      </c>
      <c r="J111" s="71" t="s">
        <v>223</v>
      </c>
    </row>
    <row r="112" spans="2:11" x14ac:dyDescent="0.25">
      <c r="B112" s="28"/>
      <c r="C112" s="9" t="s">
        <v>297</v>
      </c>
      <c r="D112" s="10">
        <f>D65-1</f>
        <v>5</v>
      </c>
      <c r="E112" s="11"/>
      <c r="H112" s="26"/>
      <c r="I112" s="35" t="s">
        <v>166</v>
      </c>
      <c r="J112" s="71" t="s">
        <v>223</v>
      </c>
    </row>
    <row r="113" spans="2:13" ht="17.25" x14ac:dyDescent="0.25">
      <c r="B113" s="28"/>
      <c r="C113" s="9" t="s">
        <v>298</v>
      </c>
      <c r="D113" s="10">
        <f>D77*D60*D112</f>
        <v>18412.11973326666</v>
      </c>
      <c r="E113" s="11" t="s">
        <v>90</v>
      </c>
      <c r="H113" s="26"/>
      <c r="I113" s="35" t="s">
        <v>162</v>
      </c>
      <c r="J113" s="71" t="s">
        <v>223</v>
      </c>
    </row>
    <row r="114" spans="2:13" x14ac:dyDescent="0.25">
      <c r="B114" s="28"/>
      <c r="C114" s="13" t="s">
        <v>124</v>
      </c>
      <c r="D114" s="14">
        <f>SQRT(D111/PI())*2</f>
        <v>68.473409359829233</v>
      </c>
      <c r="E114" s="15" t="s">
        <v>1</v>
      </c>
      <c r="H114" s="26"/>
      <c r="I114" s="35" t="s">
        <v>150</v>
      </c>
      <c r="J114" s="71" t="s">
        <v>223</v>
      </c>
    </row>
    <row r="115" spans="2:13" x14ac:dyDescent="0.25">
      <c r="D115"/>
    </row>
    <row r="116" spans="2:13" x14ac:dyDescent="0.25">
      <c r="B116" s="29" t="s">
        <v>115</v>
      </c>
    </row>
    <row r="117" spans="2:13" ht="17.25" x14ac:dyDescent="0.25">
      <c r="C117" s="6" t="s">
        <v>247</v>
      </c>
      <c r="D117" s="16">
        <f>(D16/20)^2*PI()</f>
        <v>4231.3797291935571</v>
      </c>
      <c r="E117" s="8" t="s">
        <v>2</v>
      </c>
      <c r="G117" t="s">
        <v>248</v>
      </c>
      <c r="J117" s="71" t="s">
        <v>223</v>
      </c>
    </row>
    <row r="118" spans="2:13" x14ac:dyDescent="0.25">
      <c r="C118" s="9" t="s">
        <v>5</v>
      </c>
      <c r="D118" s="10">
        <f>D16*PI()</f>
        <v>2305.9290077349083</v>
      </c>
      <c r="E118" s="11" t="s">
        <v>1</v>
      </c>
      <c r="G118" t="s">
        <v>91</v>
      </c>
      <c r="J118" s="71" t="s">
        <v>223</v>
      </c>
      <c r="M118" s="3"/>
    </row>
    <row r="119" spans="2:13" x14ac:dyDescent="0.25">
      <c r="C119" s="9" t="s">
        <v>276</v>
      </c>
      <c r="D119" s="12">
        <v>60</v>
      </c>
      <c r="E119" s="11" t="s">
        <v>4</v>
      </c>
      <c r="G119" t="s">
        <v>251</v>
      </c>
      <c r="J119" s="71" t="s">
        <v>223</v>
      </c>
    </row>
    <row r="120" spans="2:13" ht="17.25" x14ac:dyDescent="0.25">
      <c r="C120" s="9" t="s">
        <v>249</v>
      </c>
      <c r="D120" s="10">
        <f>D118*D119/1000*((D18-D15-D24)/10)+D117</f>
        <v>8873.2148217639278</v>
      </c>
      <c r="E120" s="11" t="s">
        <v>2</v>
      </c>
      <c r="G120" t="str">
        <f>"Bottom area plus side heated at the nominal rate over "&amp;D119&amp;"% of the available area."</f>
        <v>Bottom area plus side heated at the nominal rate over 60% of the available area.</v>
      </c>
      <c r="J120" s="71" t="s">
        <v>223</v>
      </c>
      <c r="L120" s="29"/>
    </row>
    <row r="121" spans="2:13" ht="17.25" x14ac:dyDescent="0.25">
      <c r="C121" s="9" t="s">
        <v>6</v>
      </c>
      <c r="D121" s="18">
        <v>2</v>
      </c>
      <c r="E121" s="11" t="s">
        <v>277</v>
      </c>
      <c r="G121" t="s">
        <v>250</v>
      </c>
      <c r="J121" s="71" t="s">
        <v>223</v>
      </c>
    </row>
    <row r="122" spans="2:13" x14ac:dyDescent="0.25">
      <c r="C122" s="9" t="s">
        <v>7</v>
      </c>
      <c r="D122" s="10">
        <f>D121*D120</f>
        <v>17746.429643527856</v>
      </c>
      <c r="E122" s="11" t="s">
        <v>8</v>
      </c>
      <c r="G122" t="s">
        <v>92</v>
      </c>
      <c r="J122" s="71" t="s">
        <v>223</v>
      </c>
    </row>
    <row r="123" spans="2:13" x14ac:dyDescent="0.25">
      <c r="C123" s="9" t="s">
        <v>9</v>
      </c>
      <c r="D123" s="12">
        <v>90</v>
      </c>
      <c r="E123" s="11" t="s">
        <v>4</v>
      </c>
      <c r="J123" s="71" t="s">
        <v>223</v>
      </c>
    </row>
    <row r="124" spans="2:13" x14ac:dyDescent="0.25">
      <c r="C124" s="9" t="s">
        <v>10</v>
      </c>
      <c r="D124" s="10">
        <f>D123/100*D10</f>
        <v>192.48593951814263</v>
      </c>
      <c r="E124" s="11" t="s">
        <v>3</v>
      </c>
      <c r="J124" s="71" t="s">
        <v>223</v>
      </c>
    </row>
    <row r="125" spans="2:13" x14ac:dyDescent="0.25">
      <c r="C125" s="9" t="s">
        <v>11</v>
      </c>
      <c r="D125" s="12">
        <v>25</v>
      </c>
      <c r="E125" s="30" t="s">
        <v>13</v>
      </c>
      <c r="J125" s="71" t="s">
        <v>223</v>
      </c>
    </row>
    <row r="126" spans="2:13" x14ac:dyDescent="0.25">
      <c r="C126" s="9" t="s">
        <v>12</v>
      </c>
      <c r="D126" s="12">
        <v>95</v>
      </c>
      <c r="E126" s="30" t="s">
        <v>13</v>
      </c>
      <c r="G126" t="s">
        <v>93</v>
      </c>
      <c r="J126" s="71" t="s">
        <v>223</v>
      </c>
      <c r="M126" s="3"/>
    </row>
    <row r="127" spans="2:13" x14ac:dyDescent="0.25">
      <c r="C127" s="9" t="s">
        <v>14</v>
      </c>
      <c r="D127" s="10">
        <f>D126-D125</f>
        <v>70</v>
      </c>
      <c r="E127" s="30" t="s">
        <v>13</v>
      </c>
      <c r="J127" s="71" t="s">
        <v>223</v>
      </c>
      <c r="M127" s="3"/>
    </row>
    <row r="128" spans="2:13" x14ac:dyDescent="0.25">
      <c r="C128" s="9" t="s">
        <v>15</v>
      </c>
      <c r="D128" s="21">
        <f>D124*4.186*D127/1000</f>
        <v>56.402229997606149</v>
      </c>
      <c r="E128" s="30" t="s">
        <v>16</v>
      </c>
      <c r="J128" s="71" t="s">
        <v>223</v>
      </c>
      <c r="M128" s="3"/>
    </row>
    <row r="129" spans="2:13" x14ac:dyDescent="0.25">
      <c r="C129" s="9" t="s">
        <v>17</v>
      </c>
      <c r="D129" s="10">
        <f>D128*1000000/D122/60</f>
        <v>52.970495221251554</v>
      </c>
      <c r="E129" s="30" t="s">
        <v>18</v>
      </c>
      <c r="G129" t="s">
        <v>77</v>
      </c>
      <c r="J129" s="71" t="s">
        <v>223</v>
      </c>
    </row>
    <row r="130" spans="2:13" x14ac:dyDescent="0.25">
      <c r="C130" s="9" t="s">
        <v>19</v>
      </c>
      <c r="D130" s="12">
        <v>5</v>
      </c>
      <c r="E130" s="30" t="s">
        <v>4</v>
      </c>
      <c r="G130" t="s">
        <v>87</v>
      </c>
      <c r="J130" s="71" t="s">
        <v>223</v>
      </c>
      <c r="M130" s="3"/>
    </row>
    <row r="131" spans="2:13" x14ac:dyDescent="0.25">
      <c r="C131" s="13" t="s">
        <v>20</v>
      </c>
      <c r="D131" s="14">
        <f>D129*(100+D130)/100</f>
        <v>55.619019982314128</v>
      </c>
      <c r="E131" s="31" t="s">
        <v>18</v>
      </c>
      <c r="G131" t="str">
        <f>"Expected boiling time for "&amp;ROUND(D124,0)&amp;" litres."</f>
        <v>Expected boiling time for 192 litres.</v>
      </c>
      <c r="J131" s="71" t="s">
        <v>223</v>
      </c>
    </row>
    <row r="133" spans="2:13" x14ac:dyDescent="0.25">
      <c r="B133" s="29" t="s">
        <v>114</v>
      </c>
    </row>
    <row r="134" spans="2:13" x14ac:dyDescent="0.25">
      <c r="C134" s="6" t="s">
        <v>111</v>
      </c>
      <c r="D134" s="7">
        <v>37</v>
      </c>
      <c r="E134" s="8" t="s">
        <v>278</v>
      </c>
      <c r="G134" t="s">
        <v>103</v>
      </c>
      <c r="J134" s="71" t="s">
        <v>223</v>
      </c>
    </row>
    <row r="135" spans="2:13" x14ac:dyDescent="0.25">
      <c r="C135" s="9" t="s">
        <v>112</v>
      </c>
      <c r="D135" s="10">
        <f>D122/(D134/100)</f>
        <v>47963.323360886097</v>
      </c>
      <c r="E135" s="11" t="s">
        <v>8</v>
      </c>
      <c r="G135" t="s">
        <v>78</v>
      </c>
      <c r="J135" s="71" t="s">
        <v>223</v>
      </c>
      <c r="L135" t="s">
        <v>113</v>
      </c>
    </row>
    <row r="136" spans="2:13" x14ac:dyDescent="0.25">
      <c r="C136" s="9" t="s">
        <v>21</v>
      </c>
      <c r="D136" s="12">
        <v>99</v>
      </c>
      <c r="E136" s="11" t="s">
        <v>4</v>
      </c>
      <c r="G136" t="s">
        <v>79</v>
      </c>
      <c r="J136" s="71" t="s">
        <v>223</v>
      </c>
    </row>
    <row r="137" spans="2:13" x14ac:dyDescent="0.25">
      <c r="C137" s="13" t="s">
        <v>86</v>
      </c>
      <c r="D137" s="14">
        <f>D135*(D136/100)</f>
        <v>47483.690127277237</v>
      </c>
      <c r="E137" s="15" t="s">
        <v>8</v>
      </c>
      <c r="G137" t="s">
        <v>88</v>
      </c>
      <c r="J137" s="71" t="s">
        <v>223</v>
      </c>
    </row>
    <row r="138" spans="2:13" x14ac:dyDescent="0.25">
      <c r="D138" s="10"/>
    </row>
    <row r="139" spans="2:13" x14ac:dyDescent="0.25">
      <c r="B139" s="29" t="s">
        <v>116</v>
      </c>
      <c r="D139" s="10"/>
    </row>
    <row r="140" spans="2:13" x14ac:dyDescent="0.25">
      <c r="C140" s="6" t="s">
        <v>29</v>
      </c>
      <c r="D140" s="7" t="s">
        <v>30</v>
      </c>
      <c r="E140" s="8"/>
      <c r="F140" s="8"/>
      <c r="J140" s="71" t="s">
        <v>223</v>
      </c>
    </row>
    <row r="141" spans="2:13" x14ac:dyDescent="0.25">
      <c r="C141" s="9" t="s">
        <v>31</v>
      </c>
      <c r="D141" s="12">
        <v>14</v>
      </c>
      <c r="E141" s="11" t="s">
        <v>32</v>
      </c>
      <c r="F141" s="11"/>
      <c r="J141" s="71" t="s">
        <v>223</v>
      </c>
    </row>
    <row r="142" spans="2:13" x14ac:dyDescent="0.25">
      <c r="C142" s="9" t="s">
        <v>33</v>
      </c>
      <c r="D142" s="17">
        <v>20</v>
      </c>
      <c r="E142" s="11" t="s">
        <v>34</v>
      </c>
      <c r="F142" s="11"/>
      <c r="G142" t="s">
        <v>94</v>
      </c>
      <c r="J142" s="71" t="s">
        <v>223</v>
      </c>
    </row>
    <row r="143" spans="2:13" x14ac:dyDescent="0.25">
      <c r="C143" s="9" t="s">
        <v>28</v>
      </c>
      <c r="D143" s="17">
        <v>5.85</v>
      </c>
      <c r="E143" s="11" t="s">
        <v>4</v>
      </c>
      <c r="F143" s="11"/>
      <c r="G143" t="s">
        <v>95</v>
      </c>
      <c r="J143" s="71" t="s">
        <v>223</v>
      </c>
    </row>
    <row r="144" spans="2:13" ht="18" x14ac:dyDescent="0.35">
      <c r="C144" s="9" t="s">
        <v>35</v>
      </c>
      <c r="D144" s="18">
        <v>19.399999999999999</v>
      </c>
      <c r="E144" s="11" t="s">
        <v>4</v>
      </c>
      <c r="F144" s="11"/>
      <c r="G144" t="s">
        <v>80</v>
      </c>
      <c r="J144" s="71" t="s">
        <v>223</v>
      </c>
    </row>
    <row r="145" spans="2:12" x14ac:dyDescent="0.25">
      <c r="C145" s="9" t="s">
        <v>23</v>
      </c>
      <c r="D145" s="19">
        <f>D142-(D143/100*9*2.592)</f>
        <v>18.635311999999999</v>
      </c>
      <c r="E145" s="11" t="s">
        <v>24</v>
      </c>
      <c r="F145" s="11"/>
      <c r="J145" s="71" t="s">
        <v>223</v>
      </c>
    </row>
    <row r="146" spans="2:12" x14ac:dyDescent="0.25">
      <c r="C146" s="9" t="s">
        <v>25</v>
      </c>
      <c r="D146" s="19">
        <f>(D145*(1-D141/100))-(D141*0.02592)</f>
        <v>15.663488319999999</v>
      </c>
      <c r="E146" s="11" t="s">
        <v>25</v>
      </c>
      <c r="F146" s="11"/>
      <c r="J146" s="71" t="s">
        <v>223</v>
      </c>
    </row>
    <row r="147" spans="2:12" x14ac:dyDescent="0.25">
      <c r="C147" s="9" t="s">
        <v>26</v>
      </c>
      <c r="D147" s="18">
        <v>45.6</v>
      </c>
      <c r="E147" s="11" t="s">
        <v>4</v>
      </c>
      <c r="F147" s="11"/>
      <c r="G147" t="s">
        <v>246</v>
      </c>
      <c r="J147" s="71" t="s">
        <v>223</v>
      </c>
    </row>
    <row r="148" spans="2:12" ht="18" x14ac:dyDescent="0.35">
      <c r="C148" s="9" t="s">
        <v>27</v>
      </c>
      <c r="D148" s="19">
        <f>D147/100*((1-D141/100)/12*44)</f>
        <v>1.4379200000000001</v>
      </c>
      <c r="E148" s="11" t="s">
        <v>97</v>
      </c>
      <c r="F148" s="11"/>
      <c r="G148" t="s">
        <v>96</v>
      </c>
      <c r="J148" s="71" t="s">
        <v>223</v>
      </c>
    </row>
    <row r="149" spans="2:12" x14ac:dyDescent="0.25">
      <c r="C149" s="13" t="s">
        <v>22</v>
      </c>
      <c r="D149" s="20">
        <f>D137/(D146*1000000)*3600</f>
        <v>10.913359844622278</v>
      </c>
      <c r="E149" s="15" t="s">
        <v>39</v>
      </c>
      <c r="F149" s="15"/>
      <c r="J149" s="71" t="s">
        <v>223</v>
      </c>
    </row>
    <row r="150" spans="2:12" x14ac:dyDescent="0.25">
      <c r="D150" s="2"/>
    </row>
    <row r="151" spans="2:12" x14ac:dyDescent="0.25">
      <c r="B151" s="29" t="s">
        <v>117</v>
      </c>
      <c r="D151" s="2"/>
    </row>
    <row r="152" spans="2:12" x14ac:dyDescent="0.25">
      <c r="C152" s="6" t="s">
        <v>48</v>
      </c>
      <c r="D152" s="23"/>
      <c r="E152" s="8"/>
      <c r="F152" s="8"/>
    </row>
    <row r="153" spans="2:12" ht="17.25" x14ac:dyDescent="0.25">
      <c r="C153" s="9" t="s">
        <v>40</v>
      </c>
      <c r="D153" s="17">
        <v>3.56</v>
      </c>
      <c r="E153" s="11" t="s">
        <v>37</v>
      </c>
      <c r="F153" s="11"/>
      <c r="G153" t="s">
        <v>242</v>
      </c>
      <c r="J153" s="71" t="s">
        <v>223</v>
      </c>
    </row>
    <row r="154" spans="2:12" x14ac:dyDescent="0.25">
      <c r="C154" s="9" t="s">
        <v>41</v>
      </c>
      <c r="D154" s="17">
        <v>4.0999999999999996</v>
      </c>
      <c r="E154" s="11" t="s">
        <v>38</v>
      </c>
      <c r="F154" s="11"/>
      <c r="J154" s="71" t="s">
        <v>223</v>
      </c>
    </row>
    <row r="155" spans="2:12" x14ac:dyDescent="0.25">
      <c r="C155" s="9" t="s">
        <v>36</v>
      </c>
      <c r="D155" s="12">
        <v>100</v>
      </c>
      <c r="E155" s="11" t="s">
        <v>4</v>
      </c>
      <c r="F155" s="11"/>
      <c r="J155" s="71" t="s">
        <v>223</v>
      </c>
    </row>
    <row r="156" spans="2:12" ht="17.25" x14ac:dyDescent="0.25">
      <c r="C156" s="9" t="s">
        <v>47</v>
      </c>
      <c r="D156" s="19">
        <f>D154*D155/100+D153</f>
        <v>7.66</v>
      </c>
      <c r="E156" s="11" t="s">
        <v>42</v>
      </c>
      <c r="F156" s="11"/>
      <c r="J156" s="71" t="s">
        <v>223</v>
      </c>
    </row>
    <row r="157" spans="2:12" ht="17.25" x14ac:dyDescent="0.25">
      <c r="C157" s="9" t="s">
        <v>46</v>
      </c>
      <c r="D157" s="19">
        <f>D154+D154*D155/100</f>
        <v>8.1999999999999993</v>
      </c>
      <c r="E157" s="11" t="s">
        <v>42</v>
      </c>
      <c r="F157" s="11"/>
      <c r="G157" t="s">
        <v>81</v>
      </c>
      <c r="J157" s="71" t="s">
        <v>223</v>
      </c>
    </row>
    <row r="158" spans="2:12" ht="17.25" x14ac:dyDescent="0.25">
      <c r="C158" s="9" t="s">
        <v>45</v>
      </c>
      <c r="D158" s="21">
        <f>D156*D149</f>
        <v>83.596336409806653</v>
      </c>
      <c r="E158" s="11" t="s">
        <v>43</v>
      </c>
      <c r="F158" s="11"/>
      <c r="J158" s="71" t="s">
        <v>223</v>
      </c>
      <c r="L158" s="80" t="s">
        <v>339</v>
      </c>
    </row>
    <row r="159" spans="2:12" ht="17.25" x14ac:dyDescent="0.25">
      <c r="C159" s="13" t="s">
        <v>44</v>
      </c>
      <c r="D159" s="22">
        <f>D157*D149</f>
        <v>89.489550725902674</v>
      </c>
      <c r="E159" s="15" t="s">
        <v>43</v>
      </c>
      <c r="F159" s="33" t="str">
        <f>ROUND(D159*1000/3600, 1)&amp;" L/sec"</f>
        <v>24.9 L/sec</v>
      </c>
      <c r="G159" s="9"/>
      <c r="J159" s="71" t="s">
        <v>223</v>
      </c>
    </row>
    <row r="160" spans="2:12" x14ac:dyDescent="0.25">
      <c r="F160" s="11"/>
    </row>
    <row r="161" spans="2:14" x14ac:dyDescent="0.25">
      <c r="B161" s="29" t="s">
        <v>118</v>
      </c>
      <c r="D161"/>
      <c r="F161" s="11"/>
    </row>
    <row r="162" spans="2:14" x14ac:dyDescent="0.25">
      <c r="C162" s="6" t="s">
        <v>49</v>
      </c>
      <c r="D162" s="40">
        <f>D158*1000/3600</f>
        <v>23.221204558279627</v>
      </c>
      <c r="E162" s="8" t="s">
        <v>50</v>
      </c>
      <c r="F162" s="11"/>
      <c r="J162" s="71" t="s">
        <v>223</v>
      </c>
    </row>
    <row r="163" spans="2:14" x14ac:dyDescent="0.25">
      <c r="C163" s="9" t="s">
        <v>51</v>
      </c>
      <c r="D163" s="12">
        <v>900</v>
      </c>
      <c r="E163" s="30" t="s">
        <v>13</v>
      </c>
      <c r="F163" s="48" t="s">
        <v>82</v>
      </c>
      <c r="J163" s="71" t="s">
        <v>223</v>
      </c>
      <c r="M163" s="4" t="s">
        <v>100</v>
      </c>
    </row>
    <row r="164" spans="2:14" ht="17.25" x14ac:dyDescent="0.25">
      <c r="C164" s="9" t="str">
        <f>"Density at "&amp;D163&amp;"°C"</f>
        <v>Density at 900°C</v>
      </c>
      <c r="D164" s="24">
        <v>0.3009</v>
      </c>
      <c r="E164" s="30" t="s">
        <v>53</v>
      </c>
      <c r="F164" s="11"/>
      <c r="I164" s="35" t="s">
        <v>58</v>
      </c>
      <c r="J164" s="71" t="s">
        <v>223</v>
      </c>
      <c r="M164" s="4" t="s">
        <v>58</v>
      </c>
      <c r="N164" t="s">
        <v>59</v>
      </c>
    </row>
    <row r="165" spans="2:14" ht="17.25" x14ac:dyDescent="0.25">
      <c r="B165" s="28" t="s">
        <v>356</v>
      </c>
      <c r="C165" s="9" t="s">
        <v>74</v>
      </c>
      <c r="D165" s="10">
        <f>D159/D164</f>
        <v>297.40628356896866</v>
      </c>
      <c r="E165" s="11" t="s">
        <v>43</v>
      </c>
      <c r="F165" s="11"/>
      <c r="H165" t="s">
        <v>62</v>
      </c>
      <c r="I165" s="65">
        <v>900</v>
      </c>
      <c r="J165" s="5" t="s">
        <v>13</v>
      </c>
      <c r="M165" s="38">
        <v>1000</v>
      </c>
      <c r="N165" s="25">
        <v>0.27729999999999999</v>
      </c>
    </row>
    <row r="166" spans="2:14" x14ac:dyDescent="0.25">
      <c r="C166" s="9" t="s">
        <v>75</v>
      </c>
      <c r="D166" s="10">
        <f>D165/3.6</f>
        <v>82.612856546935731</v>
      </c>
      <c r="E166" s="11" t="s">
        <v>57</v>
      </c>
      <c r="F166" s="11"/>
      <c r="H166" t="s">
        <v>63</v>
      </c>
      <c r="I166" s="65">
        <v>350</v>
      </c>
      <c r="J166" s="5" t="s">
        <v>13</v>
      </c>
      <c r="M166" s="38">
        <v>900</v>
      </c>
      <c r="N166" s="25">
        <v>0.3009</v>
      </c>
    </row>
    <row r="167" spans="2:14" x14ac:dyDescent="0.25">
      <c r="C167" s="9" t="s">
        <v>340</v>
      </c>
      <c r="D167" s="19">
        <f>D166/(D77/1000*D80)</f>
        <v>1.3707636686394189</v>
      </c>
      <c r="E167" s="11" t="s">
        <v>52</v>
      </c>
      <c r="F167" s="11"/>
      <c r="H167" t="s">
        <v>64</v>
      </c>
      <c r="I167" s="35">
        <f>I165-I166</f>
        <v>550</v>
      </c>
      <c r="J167" s="5" t="s">
        <v>13</v>
      </c>
      <c r="M167" s="38">
        <v>800</v>
      </c>
      <c r="N167" s="25">
        <v>0.32890000000000003</v>
      </c>
    </row>
    <row r="168" spans="2:14" x14ac:dyDescent="0.25">
      <c r="C168" s="9" t="s">
        <v>99</v>
      </c>
      <c r="D168" s="10">
        <f>D96</f>
        <v>85.923225421911084</v>
      </c>
      <c r="E168" s="11" t="s">
        <v>1</v>
      </c>
      <c r="F168" s="11"/>
      <c r="H168" t="s">
        <v>102</v>
      </c>
      <c r="I168" s="66">
        <v>0.33500000000000002</v>
      </c>
      <c r="J168" s="5" t="s">
        <v>122</v>
      </c>
      <c r="M168" s="38">
        <v>700</v>
      </c>
      <c r="N168" s="25">
        <v>0.36259999999999998</v>
      </c>
    </row>
    <row r="169" spans="2:14" x14ac:dyDescent="0.25">
      <c r="C169" s="9" t="s">
        <v>341</v>
      </c>
      <c r="D169" s="20">
        <f>D165/3600/(D231/1000*(D96/1000))</f>
        <v>1.956619586880586</v>
      </c>
      <c r="E169" s="15" t="str">
        <f>"m/sec (@ "&amp;D163&amp;" C)"</f>
        <v>m/sec (@ 900 C)</v>
      </c>
      <c r="F169" s="15"/>
      <c r="H169" t="s">
        <v>65</v>
      </c>
      <c r="I169" s="67">
        <f>I168*I167</f>
        <v>184.25</v>
      </c>
      <c r="J169" s="5" t="s">
        <v>13</v>
      </c>
      <c r="M169" s="34">
        <v>600</v>
      </c>
      <c r="N169" s="15">
        <v>0.40429999999999999</v>
      </c>
    </row>
    <row r="170" spans="2:14" x14ac:dyDescent="0.25">
      <c r="B170" s="28" t="s">
        <v>60</v>
      </c>
      <c r="C170" s="9" t="s">
        <v>98</v>
      </c>
      <c r="D170" s="12">
        <v>535</v>
      </c>
      <c r="E170" s="30" t="s">
        <v>13</v>
      </c>
      <c r="H170" t="s">
        <v>101</v>
      </c>
      <c r="I170" s="67">
        <f>I169+I166</f>
        <v>534.25</v>
      </c>
      <c r="J170" s="5" t="s">
        <v>13</v>
      </c>
      <c r="M170" s="38">
        <v>535</v>
      </c>
      <c r="N170" s="25">
        <f>N171-(M170-M171)/(M169-M171)*(N171-N169)</f>
        <v>0.43835999999999997</v>
      </c>
    </row>
    <row r="171" spans="2:14" x14ac:dyDescent="0.25">
      <c r="C171" s="9" t="s">
        <v>76</v>
      </c>
      <c r="D171" s="24">
        <v>0.43840000000000001</v>
      </c>
      <c r="E171" s="30" t="s">
        <v>61</v>
      </c>
      <c r="F171" s="8"/>
      <c r="H171" t="s">
        <v>66</v>
      </c>
      <c r="J171" s="71" t="s">
        <v>223</v>
      </c>
      <c r="M171" s="38">
        <v>500</v>
      </c>
      <c r="N171" s="25">
        <v>0.45669999999999999</v>
      </c>
    </row>
    <row r="172" spans="2:14" ht="17.25" x14ac:dyDescent="0.25">
      <c r="C172" s="9" t="s">
        <v>54</v>
      </c>
      <c r="D172" s="10">
        <f>D165*(D164/D171)</f>
        <v>204.12762483098237</v>
      </c>
      <c r="E172" s="11" t="s">
        <v>43</v>
      </c>
      <c r="F172" s="48" t="s">
        <v>83</v>
      </c>
      <c r="H172" t="s">
        <v>67</v>
      </c>
      <c r="J172" s="71" t="s">
        <v>223</v>
      </c>
      <c r="M172" s="38">
        <v>350</v>
      </c>
      <c r="N172" s="37">
        <v>0.56699999999999995</v>
      </c>
    </row>
    <row r="173" spans="2:14" x14ac:dyDescent="0.25">
      <c r="C173" s="9" t="s">
        <v>55</v>
      </c>
      <c r="D173" s="10">
        <f>D172/3600*1000</f>
        <v>56.702118008606213</v>
      </c>
      <c r="E173" s="11" t="s">
        <v>57</v>
      </c>
      <c r="F173" s="11"/>
      <c r="J173" s="71" t="s">
        <v>223</v>
      </c>
      <c r="M173" s="38">
        <v>225</v>
      </c>
      <c r="N173" s="37">
        <v>0.70799999999999996</v>
      </c>
    </row>
    <row r="174" spans="2:14" x14ac:dyDescent="0.25">
      <c r="C174" s="9" t="s">
        <v>357</v>
      </c>
      <c r="D174" s="10">
        <f>D93</f>
        <v>36.59040000000001</v>
      </c>
      <c r="E174" s="11" t="s">
        <v>1</v>
      </c>
      <c r="F174" s="11"/>
      <c r="J174" s="71" t="s">
        <v>223</v>
      </c>
    </row>
    <row r="175" spans="2:14" x14ac:dyDescent="0.25">
      <c r="C175" s="9" t="s">
        <v>68</v>
      </c>
      <c r="D175" s="19">
        <f>D172/(D118/1000*(D174/1000))/3600</f>
        <v>0.67202617944082577</v>
      </c>
      <c r="E175" s="11" t="s">
        <v>52</v>
      </c>
      <c r="F175" s="11"/>
      <c r="J175" s="71" t="s">
        <v>223</v>
      </c>
    </row>
    <row r="176" spans="2:14" x14ac:dyDescent="0.25">
      <c r="C176" s="9" t="s">
        <v>243</v>
      </c>
      <c r="D176" s="21">
        <f>D84</f>
        <v>40</v>
      </c>
      <c r="E176" s="11" t="s">
        <v>1</v>
      </c>
      <c r="F176" s="11"/>
      <c r="J176" s="71" t="s">
        <v>223</v>
      </c>
    </row>
    <row r="177" spans="2:11" x14ac:dyDescent="0.25">
      <c r="C177" s="13" t="s">
        <v>69</v>
      </c>
      <c r="D177" s="27">
        <f>(D172/3600)/((((D16+2*D176)/2)^2*PI()/1000000)-((D16/2)^2*PI()/1000000))</f>
        <v>0.58297302098512027</v>
      </c>
      <c r="E177" s="15" t="s">
        <v>52</v>
      </c>
      <c r="F177" s="58"/>
      <c r="J177" s="71" t="s">
        <v>223</v>
      </c>
    </row>
    <row r="179" spans="2:11" x14ac:dyDescent="0.25">
      <c r="B179" s="53" t="s">
        <v>127</v>
      </c>
    </row>
    <row r="180" spans="2:11" x14ac:dyDescent="0.25">
      <c r="B180" s="28" t="s">
        <v>342</v>
      </c>
      <c r="C180" s="6" t="s">
        <v>70</v>
      </c>
      <c r="D180" s="7">
        <v>350</v>
      </c>
      <c r="E180" s="44" t="s">
        <v>121</v>
      </c>
      <c r="F180" s="52" t="s">
        <v>84</v>
      </c>
      <c r="J180" s="71" t="s">
        <v>223</v>
      </c>
    </row>
    <row r="181" spans="2:11" x14ac:dyDescent="0.25">
      <c r="C181" s="9" t="s">
        <v>76</v>
      </c>
      <c r="D181" s="24">
        <v>0.56699999999999995</v>
      </c>
      <c r="E181" s="30" t="s">
        <v>61</v>
      </c>
      <c r="F181" s="11"/>
      <c r="J181" s="71" t="s">
        <v>223</v>
      </c>
      <c r="K181" t="s">
        <v>289</v>
      </c>
    </row>
    <row r="182" spans="2:11" x14ac:dyDescent="0.25">
      <c r="C182" s="9" t="s">
        <v>72</v>
      </c>
      <c r="D182" s="39">
        <f>D164/D181*D166</f>
        <v>43.84163762781828</v>
      </c>
      <c r="E182" s="30" t="s">
        <v>56</v>
      </c>
      <c r="F182" s="11"/>
      <c r="J182" s="71" t="s">
        <v>223</v>
      </c>
    </row>
    <row r="183" spans="2:11" x14ac:dyDescent="0.25">
      <c r="C183" s="9" t="s">
        <v>244</v>
      </c>
      <c r="D183" s="10">
        <f>D101</f>
        <v>152</v>
      </c>
      <c r="E183" s="30" t="s">
        <v>1</v>
      </c>
      <c r="F183" s="11"/>
      <c r="J183" s="71" t="s">
        <v>223</v>
      </c>
    </row>
    <row r="184" spans="2:11" x14ac:dyDescent="0.25">
      <c r="C184" s="9" t="s">
        <v>245</v>
      </c>
      <c r="D184" s="10">
        <f>1.84*D183</f>
        <v>279.68</v>
      </c>
      <c r="E184" s="30" t="s">
        <v>1</v>
      </c>
      <c r="F184" s="11"/>
      <c r="J184" s="71" t="s">
        <v>223</v>
      </c>
    </row>
    <row r="185" spans="2:11" x14ac:dyDescent="0.25">
      <c r="C185" s="9" t="s">
        <v>343</v>
      </c>
      <c r="D185" s="19">
        <f>(D182/1000)/((D183/1000*25/1000)*2+(D184/1000*25/1000)*2)</f>
        <v>2.0312100457662288</v>
      </c>
      <c r="E185" s="11" t="s">
        <v>52</v>
      </c>
      <c r="F185" s="11"/>
      <c r="J185" s="71" t="s">
        <v>223</v>
      </c>
    </row>
    <row r="186" spans="2:11" x14ac:dyDescent="0.25">
      <c r="C186" s="13" t="str">
        <f>"Gas velocity in chimney @ "&amp;D180&amp;"°"</f>
        <v>Gas velocity in chimney @ 350°</v>
      </c>
      <c r="D186" s="20">
        <f>D182/(((D101/100)/2)^2*PI())/10</f>
        <v>2.4160711017004557</v>
      </c>
      <c r="E186" s="15" t="str">
        <f>"m/sec at "&amp;ROUND(D137/1000,1)&amp;" kW"</f>
        <v>m/sec at 47.5 kW</v>
      </c>
      <c r="F186" s="15"/>
      <c r="J186" s="71" t="s">
        <v>223</v>
      </c>
    </row>
    <row r="187" spans="2:11" x14ac:dyDescent="0.25">
      <c r="D187" s="2"/>
      <c r="J187" s="71" t="s">
        <v>223</v>
      </c>
      <c r="K187" s="4" t="s">
        <v>73</v>
      </c>
    </row>
    <row r="188" spans="2:11" x14ac:dyDescent="0.25">
      <c r="B188" s="29" t="s">
        <v>195</v>
      </c>
    </row>
    <row r="189" spans="2:11" x14ac:dyDescent="0.25">
      <c r="B189" s="29" t="s">
        <v>290</v>
      </c>
      <c r="C189" s="6" t="s">
        <v>281</v>
      </c>
      <c r="D189" s="16">
        <f>D57-D48</f>
        <v>91.199999999999989</v>
      </c>
      <c r="E189" s="8" t="s">
        <v>1</v>
      </c>
      <c r="I189" s="35" t="s">
        <v>180</v>
      </c>
    </row>
    <row r="190" spans="2:11" x14ac:dyDescent="0.25">
      <c r="B190" s="29"/>
      <c r="C190" s="9" t="s">
        <v>104</v>
      </c>
      <c r="D190" s="10">
        <f>D53</f>
        <v>1242.5</v>
      </c>
      <c r="E190" s="11" t="s">
        <v>1</v>
      </c>
      <c r="I190" s="35" t="str">
        <f>I53</f>
        <v>L1</v>
      </c>
    </row>
    <row r="191" spans="2:11" x14ac:dyDescent="0.25">
      <c r="B191" s="29"/>
      <c r="C191" s="9" t="s">
        <v>291</v>
      </c>
      <c r="D191" s="10">
        <f>D52</f>
        <v>1242.5</v>
      </c>
      <c r="E191" s="11" t="s">
        <v>1</v>
      </c>
      <c r="I191" s="35" t="str">
        <f>I52</f>
        <v>W3</v>
      </c>
    </row>
    <row r="192" spans="2:11" x14ac:dyDescent="0.25">
      <c r="B192" s="29"/>
      <c r="C192" s="9" t="s">
        <v>293</v>
      </c>
      <c r="D192" s="10">
        <f>D58</f>
        <v>245.49492977688882</v>
      </c>
      <c r="E192" s="11" t="s">
        <v>1</v>
      </c>
      <c r="I192" s="79" t="str">
        <f>I58</f>
        <v>W12</v>
      </c>
    </row>
    <row r="193" spans="2:10" x14ac:dyDescent="0.25">
      <c r="C193" s="9" t="s">
        <v>279</v>
      </c>
      <c r="D193" s="10">
        <f>D190-D194</f>
        <v>498.50253511155563</v>
      </c>
      <c r="E193" s="11" t="s">
        <v>1</v>
      </c>
      <c r="I193" s="35" t="s">
        <v>189</v>
      </c>
    </row>
    <row r="194" spans="2:10" x14ac:dyDescent="0.25">
      <c r="C194" s="9" t="s">
        <v>186</v>
      </c>
      <c r="D194" s="10">
        <f>D53/2+D58/2</f>
        <v>743.99746488844437</v>
      </c>
      <c r="E194" s="11" t="s">
        <v>1</v>
      </c>
      <c r="I194" s="35" t="s">
        <v>190</v>
      </c>
    </row>
    <row r="195" spans="2:10" x14ac:dyDescent="0.25">
      <c r="C195" s="9" t="s">
        <v>187</v>
      </c>
      <c r="D195" s="10">
        <f>D53/2+D58/2+15-D109-D110</f>
        <v>323.99746488844437</v>
      </c>
      <c r="E195" s="11" t="s">
        <v>1</v>
      </c>
      <c r="I195" s="35" t="s">
        <v>191</v>
      </c>
      <c r="J195" t="s">
        <v>280</v>
      </c>
    </row>
    <row r="196" spans="2:10" x14ac:dyDescent="0.25">
      <c r="C196" s="9" t="s">
        <v>188</v>
      </c>
      <c r="D196" s="10">
        <f>D194-D195</f>
        <v>420</v>
      </c>
      <c r="E196" s="11" t="s">
        <v>1</v>
      </c>
      <c r="I196" s="35" t="s">
        <v>192</v>
      </c>
      <c r="J196" t="s">
        <v>280</v>
      </c>
    </row>
    <row r="197" spans="2:10" x14ac:dyDescent="0.25">
      <c r="C197" s="13" t="s">
        <v>193</v>
      </c>
      <c r="D197" s="14">
        <f>(D190-D58)/2</f>
        <v>498.50253511155557</v>
      </c>
      <c r="E197" s="15" t="s">
        <v>1</v>
      </c>
      <c r="I197" s="35" t="s">
        <v>194</v>
      </c>
    </row>
    <row r="199" spans="2:10" x14ac:dyDescent="0.25">
      <c r="B199" s="29" t="s">
        <v>199</v>
      </c>
    </row>
    <row r="200" spans="2:10" x14ac:dyDescent="0.25">
      <c r="B200" s="29" t="s">
        <v>290</v>
      </c>
      <c r="C200" s="6" t="s">
        <v>284</v>
      </c>
      <c r="D200" s="16">
        <f>D189+D39+D48-12</f>
        <v>179.2</v>
      </c>
      <c r="E200" s="8" t="s">
        <v>1</v>
      </c>
      <c r="I200" s="35" t="s">
        <v>176</v>
      </c>
    </row>
    <row r="201" spans="2:10" x14ac:dyDescent="0.25">
      <c r="C201" s="9" t="s">
        <v>295</v>
      </c>
      <c r="D201" s="10">
        <f>D200</f>
        <v>179.2</v>
      </c>
      <c r="E201" s="11" t="s">
        <v>1</v>
      </c>
      <c r="I201" s="35" t="s">
        <v>145</v>
      </c>
    </row>
    <row r="202" spans="2:10" x14ac:dyDescent="0.25">
      <c r="C202" s="9" t="s">
        <v>296</v>
      </c>
      <c r="D202" s="10">
        <f>D65*D38+(D65-1)*D60</f>
        <v>873</v>
      </c>
      <c r="E202" s="11" t="s">
        <v>1</v>
      </c>
      <c r="I202" s="73" t="s">
        <v>196</v>
      </c>
      <c r="J202" t="s">
        <v>280</v>
      </c>
    </row>
    <row r="203" spans="2:10" x14ac:dyDescent="0.25">
      <c r="C203" s="9" t="s">
        <v>294</v>
      </c>
      <c r="D203" s="10">
        <f>D204+2*D41</f>
        <v>595.9</v>
      </c>
      <c r="E203" s="11" t="s">
        <v>1</v>
      </c>
      <c r="I203" s="73" t="s">
        <v>197</v>
      </c>
    </row>
    <row r="204" spans="2:10" x14ac:dyDescent="0.25">
      <c r="C204" s="13" t="s">
        <v>299</v>
      </c>
      <c r="D204" s="14">
        <f>D40+2*D48</f>
        <v>380</v>
      </c>
      <c r="E204" s="15" t="s">
        <v>1</v>
      </c>
      <c r="I204" s="73" t="s">
        <v>198</v>
      </c>
      <c r="J204" t="s">
        <v>280</v>
      </c>
    </row>
    <row r="206" spans="2:10" x14ac:dyDescent="0.25">
      <c r="B206" s="29" t="s">
        <v>200</v>
      </c>
    </row>
    <row r="207" spans="2:10" x14ac:dyDescent="0.25">
      <c r="B207" s="29" t="s">
        <v>290</v>
      </c>
      <c r="C207" s="6" t="s">
        <v>285</v>
      </c>
      <c r="D207" s="16">
        <f>D189+D200</f>
        <v>270.39999999999998</v>
      </c>
      <c r="E207" s="8" t="s">
        <v>1</v>
      </c>
      <c r="I207" s="35" t="s">
        <v>164</v>
      </c>
    </row>
    <row r="208" spans="2:10" x14ac:dyDescent="0.25">
      <c r="C208" s="9" t="s">
        <v>300</v>
      </c>
      <c r="D208" s="10">
        <f>D192+140</f>
        <v>385.49492977688885</v>
      </c>
      <c r="E208" s="11" t="s">
        <v>1</v>
      </c>
      <c r="I208" s="73" t="s">
        <v>201</v>
      </c>
      <c r="J208" t="s">
        <v>303</v>
      </c>
    </row>
    <row r="209" spans="2:11" x14ac:dyDescent="0.25">
      <c r="C209" s="9" t="s">
        <v>301</v>
      </c>
      <c r="D209" s="10">
        <f>D31+D48</f>
        <v>122.94999999999999</v>
      </c>
      <c r="E209" s="11" t="s">
        <v>1</v>
      </c>
      <c r="I209" s="73" t="s">
        <v>202</v>
      </c>
      <c r="K209" t="s">
        <v>104</v>
      </c>
    </row>
    <row r="210" spans="2:11" x14ac:dyDescent="0.25">
      <c r="C210" s="9" t="s">
        <v>306</v>
      </c>
      <c r="D210" s="10">
        <f>D77</f>
        <v>245.49492977688882</v>
      </c>
      <c r="E210" s="11" t="s">
        <v>1</v>
      </c>
      <c r="I210" s="35" t="str">
        <f>I77</f>
        <v>W10</v>
      </c>
    </row>
    <row r="211" spans="2:11" x14ac:dyDescent="0.25">
      <c r="C211" s="13" t="s">
        <v>302</v>
      </c>
      <c r="D211" s="14">
        <f>D194</f>
        <v>743.99746488844437</v>
      </c>
      <c r="E211" s="15" t="s">
        <v>1</v>
      </c>
      <c r="I211" s="73" t="s">
        <v>203</v>
      </c>
    </row>
    <row r="213" spans="2:11" x14ac:dyDescent="0.25">
      <c r="B213" s="29" t="s">
        <v>204</v>
      </c>
    </row>
    <row r="214" spans="2:11" x14ac:dyDescent="0.25">
      <c r="B214" s="29" t="s">
        <v>290</v>
      </c>
      <c r="C214" s="6" t="s">
        <v>304</v>
      </c>
      <c r="D214" s="16">
        <f>D207+D189</f>
        <v>361.59999999999997</v>
      </c>
      <c r="E214" s="8" t="s">
        <v>1</v>
      </c>
      <c r="I214" s="35" t="s">
        <v>159</v>
      </c>
    </row>
    <row r="215" spans="2:11" x14ac:dyDescent="0.25">
      <c r="C215" s="9" t="s">
        <v>308</v>
      </c>
      <c r="D215" s="10">
        <f>D214-D200</f>
        <v>182.39999999999998</v>
      </c>
      <c r="E215" s="11" t="s">
        <v>1</v>
      </c>
    </row>
    <row r="216" spans="2:11" x14ac:dyDescent="0.25">
      <c r="C216" s="13" t="s">
        <v>300</v>
      </c>
      <c r="D216" s="14">
        <f>D208</f>
        <v>385.49492977688885</v>
      </c>
      <c r="E216" s="15" t="s">
        <v>1</v>
      </c>
      <c r="I216" s="73" t="s">
        <v>142</v>
      </c>
    </row>
    <row r="218" spans="2:11" x14ac:dyDescent="0.25">
      <c r="B218" s="29" t="s">
        <v>205</v>
      </c>
    </row>
    <row r="219" spans="2:11" x14ac:dyDescent="0.25">
      <c r="B219" s="29" t="s">
        <v>290</v>
      </c>
      <c r="C219" s="6" t="s">
        <v>307</v>
      </c>
      <c r="D219" s="16">
        <f>D214+D189-5</f>
        <v>447.79999999999995</v>
      </c>
      <c r="E219" s="8" t="s">
        <v>1</v>
      </c>
      <c r="I219" s="73" t="s">
        <v>142</v>
      </c>
    </row>
    <row r="220" spans="2:11" x14ac:dyDescent="0.25">
      <c r="B220" s="29"/>
      <c r="C220" s="9" t="s">
        <v>300</v>
      </c>
      <c r="D220" s="10">
        <f>D216-148</f>
        <v>237.49492977688885</v>
      </c>
      <c r="E220" s="11" t="s">
        <v>1</v>
      </c>
      <c r="I220" s="73" t="s">
        <v>142</v>
      </c>
    </row>
    <row r="221" spans="2:11" x14ac:dyDescent="0.25">
      <c r="B221" s="29"/>
      <c r="C221" s="9" t="str">
        <f>C204</f>
        <v>Width to accommodate U-channels</v>
      </c>
      <c r="D221" s="39">
        <f>D204</f>
        <v>380</v>
      </c>
      <c r="E221" s="11" t="s">
        <v>1</v>
      </c>
      <c r="I221" s="73" t="s">
        <v>142</v>
      </c>
    </row>
    <row r="222" spans="2:11" x14ac:dyDescent="0.25">
      <c r="B222" s="29"/>
      <c r="C222" s="9" t="s">
        <v>310</v>
      </c>
      <c r="D222" s="39">
        <f>D67</f>
        <v>498.50253511155552</v>
      </c>
      <c r="E222" s="11" t="s">
        <v>1</v>
      </c>
    </row>
    <row r="223" spans="2:11" x14ac:dyDescent="0.25">
      <c r="B223" s="29"/>
      <c r="C223" s="9" t="s">
        <v>319</v>
      </c>
      <c r="D223" s="39">
        <f>D215+3</f>
        <v>185.39999999999998</v>
      </c>
      <c r="E223" s="11" t="s">
        <v>1</v>
      </c>
    </row>
    <row r="224" spans="2:11" x14ac:dyDescent="0.25">
      <c r="B224" s="29"/>
      <c r="C224" s="9" t="s">
        <v>253</v>
      </c>
      <c r="D224" s="39">
        <f>D211-D222</f>
        <v>245.49492977688885</v>
      </c>
      <c r="E224" s="11" t="s">
        <v>1</v>
      </c>
    </row>
    <row r="225" spans="2:5" x14ac:dyDescent="0.25">
      <c r="B225" s="29"/>
      <c r="C225" s="13" t="s">
        <v>318</v>
      </c>
      <c r="D225" s="41">
        <f>D210</f>
        <v>245.49492977688882</v>
      </c>
      <c r="E225" s="15" t="s">
        <v>1</v>
      </c>
    </row>
    <row r="226" spans="2:5" x14ac:dyDescent="0.25">
      <c r="B226" s="29"/>
      <c r="D226" s="63"/>
    </row>
    <row r="227" spans="2:5" x14ac:dyDescent="0.25">
      <c r="B227" s="29" t="s">
        <v>305</v>
      </c>
    </row>
    <row r="228" spans="2:5" x14ac:dyDescent="0.25">
      <c r="B228" s="29" t="s">
        <v>290</v>
      </c>
      <c r="C228" s="6" t="s">
        <v>320</v>
      </c>
      <c r="D228" s="16">
        <f>D219+D189</f>
        <v>539</v>
      </c>
      <c r="E228" s="8" t="s">
        <v>1</v>
      </c>
    </row>
    <row r="229" spans="2:5" x14ac:dyDescent="0.25">
      <c r="C229" s="9" t="s">
        <v>321</v>
      </c>
      <c r="D229" s="10">
        <f>D228</f>
        <v>539</v>
      </c>
      <c r="E229" s="11" t="s">
        <v>1</v>
      </c>
    </row>
    <row r="230" spans="2:5" x14ac:dyDescent="0.25">
      <c r="C230" s="9" t="s">
        <v>344</v>
      </c>
      <c r="D230" s="39"/>
      <c r="E230" s="11"/>
    </row>
    <row r="231" spans="2:5" x14ac:dyDescent="0.25">
      <c r="C231" s="9" t="s">
        <v>332</v>
      </c>
      <c r="D231" s="39">
        <f>D232+2*D41+2*D48</f>
        <v>491.39492977688883</v>
      </c>
      <c r="E231" s="11" t="s">
        <v>1</v>
      </c>
    </row>
    <row r="232" spans="2:5" x14ac:dyDescent="0.25">
      <c r="C232" s="9" t="s">
        <v>253</v>
      </c>
      <c r="D232" s="39">
        <f>D224</f>
        <v>245.49492977688885</v>
      </c>
      <c r="E232" s="11" t="s">
        <v>1</v>
      </c>
    </row>
    <row r="233" spans="2:5" x14ac:dyDescent="0.25">
      <c r="C233" s="9" t="s">
        <v>322</v>
      </c>
      <c r="D233" s="39">
        <f>D228-D200</f>
        <v>359.8</v>
      </c>
      <c r="E233" s="11" t="s">
        <v>1</v>
      </c>
    </row>
    <row r="234" spans="2:5" x14ac:dyDescent="0.25">
      <c r="C234" s="13" t="s">
        <v>323</v>
      </c>
      <c r="D234" s="41">
        <f>D233-D223+D41-D42</f>
        <v>206.15000000000003</v>
      </c>
      <c r="E234" s="15" t="s">
        <v>1</v>
      </c>
    </row>
    <row r="236" spans="2:5" x14ac:dyDescent="0.25">
      <c r="B236" s="29" t="s">
        <v>324</v>
      </c>
    </row>
    <row r="237" spans="2:5" x14ac:dyDescent="0.25">
      <c r="B237" s="29" t="s">
        <v>290</v>
      </c>
      <c r="C237" s="6" t="s">
        <v>325</v>
      </c>
      <c r="D237" s="16">
        <f>D228+D189</f>
        <v>630.20000000000005</v>
      </c>
      <c r="E237" s="8" t="s">
        <v>1</v>
      </c>
    </row>
    <row r="238" spans="2:5" x14ac:dyDescent="0.25">
      <c r="C238" s="9" t="s">
        <v>326</v>
      </c>
      <c r="D238" s="10">
        <f>D237+(D229-D228)</f>
        <v>630.20000000000005</v>
      </c>
      <c r="E238" s="11" t="s">
        <v>1</v>
      </c>
    </row>
    <row r="239" spans="2:5" x14ac:dyDescent="0.25">
      <c r="C239" s="9" t="s">
        <v>327</v>
      </c>
      <c r="D239" s="39">
        <f>D14+2*D84</f>
        <v>814</v>
      </c>
      <c r="E239" s="11" t="s">
        <v>1</v>
      </c>
    </row>
    <row r="240" spans="2:5" x14ac:dyDescent="0.25">
      <c r="C240" s="9" t="s">
        <v>328</v>
      </c>
      <c r="D240" s="39">
        <f>(D34*1.08)*2+D239</f>
        <v>1011.208</v>
      </c>
      <c r="E240" s="11" t="s">
        <v>1</v>
      </c>
    </row>
    <row r="241" spans="2:5" x14ac:dyDescent="0.25">
      <c r="C241" s="13" t="s">
        <v>331</v>
      </c>
      <c r="D241" s="41">
        <f>D87-(2*D31)</f>
        <v>1026.5999999999999</v>
      </c>
      <c r="E241" s="15" t="s">
        <v>1</v>
      </c>
    </row>
    <row r="243" spans="2:5" x14ac:dyDescent="0.25">
      <c r="B243" s="29" t="s">
        <v>378</v>
      </c>
    </row>
    <row r="244" spans="2:5" x14ac:dyDescent="0.25">
      <c r="B244" s="29" t="s">
        <v>290</v>
      </c>
      <c r="C244" s="6" t="s">
        <v>379</v>
      </c>
      <c r="D244" s="16">
        <f>D237+4*(D189)</f>
        <v>995</v>
      </c>
      <c r="E244" s="8" t="s">
        <v>1</v>
      </c>
    </row>
    <row r="245" spans="2:5" x14ac:dyDescent="0.25">
      <c r="C245" s="9" t="s">
        <v>345</v>
      </c>
      <c r="D245" s="10">
        <f>D237+5*(D189-5)</f>
        <v>1061.2</v>
      </c>
      <c r="E245" s="11" t="s">
        <v>1</v>
      </c>
    </row>
    <row r="246" spans="2:5" x14ac:dyDescent="0.25">
      <c r="C246" s="9" t="s">
        <v>346</v>
      </c>
      <c r="D246" s="10">
        <f>((D87-D23)/2)*SIN(0.063)+D245</f>
        <v>1076.478728439188</v>
      </c>
      <c r="E246" s="11" t="s">
        <v>1</v>
      </c>
    </row>
    <row r="247" spans="2:5" x14ac:dyDescent="0.25">
      <c r="C247" s="13" t="s">
        <v>347</v>
      </c>
      <c r="D247" s="14">
        <f>D238+4*(D35+D48+1)</f>
        <v>999</v>
      </c>
      <c r="E247" s="15" t="s">
        <v>1</v>
      </c>
    </row>
  </sheetData>
  <conditionalFormatting sqref="L64">
    <cfRule type="cellIs" dxfId="4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06688-4BBC-4EED-A147-019AFB30E96D}">
  <dimension ref="B2:O247"/>
  <sheetViews>
    <sheetView topLeftCell="A224" zoomScale="130" zoomScaleNormal="130" workbookViewId="0">
      <selection activeCell="C37" sqref="C37"/>
    </sheetView>
  </sheetViews>
  <sheetFormatPr defaultRowHeight="15" x14ac:dyDescent="0.25"/>
  <cols>
    <col min="1" max="1" width="6" customWidth="1"/>
    <col min="2" max="2" width="30" customWidth="1"/>
    <col min="3" max="3" width="35.42578125" customWidth="1"/>
    <col min="4" max="4" width="19.42578125" style="4" bestFit="1" customWidth="1"/>
    <col min="5" max="5" width="17" customWidth="1"/>
    <col min="6" max="6" width="11" hidden="1" customWidth="1"/>
    <col min="7" max="7" width="9.140625" hidden="1" customWidth="1"/>
    <col min="8" max="8" width="56.28515625" hidden="1" customWidth="1"/>
    <col min="9" max="9" width="8" style="35" customWidth="1"/>
    <col min="10" max="10" width="9.140625" customWidth="1"/>
    <col min="11" max="12" width="7.5703125" customWidth="1"/>
    <col min="13" max="13" width="29.28515625" style="4" customWidth="1"/>
  </cols>
  <sheetData>
    <row r="2" spans="2:11" ht="18.75" x14ac:dyDescent="0.3">
      <c r="B2" s="1" t="str">
        <f>ROUNDDOWN(D10/50,0)*50&amp;" Litre MEMD Stove"</f>
        <v>250 Litre MEMD Stove</v>
      </c>
      <c r="C2" s="64" t="s">
        <v>217</v>
      </c>
      <c r="D2" s="35"/>
    </row>
    <row r="3" spans="2:11" ht="18.75" x14ac:dyDescent="0.3">
      <c r="B3" s="1"/>
      <c r="D3" s="35"/>
    </row>
    <row r="4" spans="2:11" x14ac:dyDescent="0.25">
      <c r="C4" t="s">
        <v>0</v>
      </c>
      <c r="D4" s="36">
        <v>45621</v>
      </c>
      <c r="E4" t="str">
        <f>Dimensions!F2</f>
        <v>Version 1.4</v>
      </c>
    </row>
    <row r="5" spans="2:11" x14ac:dyDescent="0.25">
      <c r="B5" s="69" t="s">
        <v>219</v>
      </c>
    </row>
    <row r="7" spans="2:11" x14ac:dyDescent="0.25">
      <c r="B7" s="29" t="s">
        <v>212</v>
      </c>
      <c r="D7"/>
      <c r="I7" s="35" t="s">
        <v>218</v>
      </c>
    </row>
    <row r="8" spans="2:11" x14ac:dyDescent="0.25">
      <c r="C8" s="6" t="s">
        <v>108</v>
      </c>
      <c r="D8" s="7">
        <v>788</v>
      </c>
      <c r="E8" s="8" t="s">
        <v>1</v>
      </c>
      <c r="I8" s="35" t="s">
        <v>131</v>
      </c>
      <c r="J8" s="71" t="s">
        <v>223</v>
      </c>
    </row>
    <row r="9" spans="2:11" x14ac:dyDescent="0.25">
      <c r="C9" s="9" t="s">
        <v>348</v>
      </c>
      <c r="D9" s="57">
        <f>D8*0.7</f>
        <v>551.59999999999991</v>
      </c>
      <c r="E9" s="11" t="s">
        <v>1</v>
      </c>
      <c r="I9" s="35" t="s">
        <v>132</v>
      </c>
      <c r="J9" s="71" t="s">
        <v>223</v>
      </c>
      <c r="K9" t="s">
        <v>359</v>
      </c>
    </row>
    <row r="10" spans="2:11" x14ac:dyDescent="0.25">
      <c r="C10" s="9" t="s">
        <v>89</v>
      </c>
      <c r="D10" s="10">
        <f>(D8/200)^2*PI()*D9/100</f>
        <v>269.00885368844206</v>
      </c>
      <c r="E10" s="11" t="s">
        <v>3</v>
      </c>
      <c r="I10" s="35" t="s">
        <v>170</v>
      </c>
      <c r="J10" s="71" t="s">
        <v>223</v>
      </c>
      <c r="K10" s="81">
        <f>D10/250-1</f>
        <v>7.6035414753768293E-2</v>
      </c>
    </row>
    <row r="11" spans="2:11" x14ac:dyDescent="0.25">
      <c r="C11" s="9" t="s">
        <v>105</v>
      </c>
      <c r="D11" s="18">
        <v>2</v>
      </c>
      <c r="E11" s="11" t="s">
        <v>1</v>
      </c>
      <c r="I11" s="35" t="s">
        <v>134</v>
      </c>
      <c r="J11" s="71" t="s">
        <v>223</v>
      </c>
    </row>
    <row r="12" spans="2:11" x14ac:dyDescent="0.25">
      <c r="C12" s="9" t="s">
        <v>106</v>
      </c>
      <c r="D12" s="18">
        <v>3</v>
      </c>
      <c r="E12" s="11" t="s">
        <v>1</v>
      </c>
      <c r="I12" s="35" t="s">
        <v>135</v>
      </c>
      <c r="J12" s="71" t="s">
        <v>223</v>
      </c>
    </row>
    <row r="13" spans="2:11" x14ac:dyDescent="0.25">
      <c r="C13" s="9" t="s">
        <v>224</v>
      </c>
      <c r="D13" s="18">
        <v>40</v>
      </c>
      <c r="E13" s="11" t="s">
        <v>1</v>
      </c>
      <c r="I13" s="35" t="s">
        <v>136</v>
      </c>
      <c r="J13" s="71" t="s">
        <v>223</v>
      </c>
    </row>
    <row r="14" spans="2:11" x14ac:dyDescent="0.25">
      <c r="C14" s="9" t="s">
        <v>107</v>
      </c>
      <c r="D14" s="10">
        <f>D8+2*D11</f>
        <v>792</v>
      </c>
      <c r="E14" s="11" t="s">
        <v>1</v>
      </c>
      <c r="J14" s="71"/>
    </row>
    <row r="15" spans="2:11" x14ac:dyDescent="0.25">
      <c r="C15" s="9" t="s">
        <v>229</v>
      </c>
      <c r="D15" s="10">
        <f>(D9+D12)*0.25</f>
        <v>138.64999999999998</v>
      </c>
      <c r="E15" s="11" t="s">
        <v>1</v>
      </c>
      <c r="I15" s="35" t="s">
        <v>151</v>
      </c>
      <c r="J15" s="71" t="s">
        <v>223</v>
      </c>
      <c r="K15" t="s">
        <v>236</v>
      </c>
    </row>
    <row r="16" spans="2:11" x14ac:dyDescent="0.25">
      <c r="C16" s="9" t="s">
        <v>234</v>
      </c>
      <c r="D16" s="10">
        <f>D8+2*D11</f>
        <v>792</v>
      </c>
      <c r="E16" s="11" t="s">
        <v>1</v>
      </c>
      <c r="I16" s="35" t="s">
        <v>133</v>
      </c>
      <c r="J16" s="71" t="s">
        <v>223</v>
      </c>
    </row>
    <row r="17" spans="2:10" x14ac:dyDescent="0.25">
      <c r="C17" s="9" t="s">
        <v>222</v>
      </c>
      <c r="D17" s="10">
        <f>D13*2+D16</f>
        <v>872</v>
      </c>
      <c r="E17" s="11" t="s">
        <v>1</v>
      </c>
      <c r="I17" s="35" t="s">
        <v>148</v>
      </c>
      <c r="J17" s="71" t="s">
        <v>223</v>
      </c>
    </row>
    <row r="18" spans="2:10" x14ac:dyDescent="0.25">
      <c r="C18" s="9" t="s">
        <v>183</v>
      </c>
      <c r="D18" s="10">
        <f>D9+D12</f>
        <v>554.59999999999991</v>
      </c>
      <c r="E18" s="11" t="s">
        <v>1</v>
      </c>
      <c r="I18" s="35" t="s">
        <v>184</v>
      </c>
      <c r="J18" s="71" t="s">
        <v>223</v>
      </c>
    </row>
    <row r="19" spans="2:10" x14ac:dyDescent="0.25">
      <c r="C19" s="60"/>
      <c r="D19" s="16"/>
      <c r="E19" s="60"/>
    </row>
    <row r="20" spans="2:10" x14ac:dyDescent="0.25">
      <c r="B20" s="29" t="s">
        <v>231</v>
      </c>
      <c r="D20" s="10"/>
    </row>
    <row r="21" spans="2:10" x14ac:dyDescent="0.25">
      <c r="C21" s="6" t="s">
        <v>230</v>
      </c>
      <c r="D21" s="40">
        <f>D16+2*D25</f>
        <v>806.18399999999997</v>
      </c>
      <c r="E21" s="8" t="s">
        <v>1</v>
      </c>
      <c r="I21" s="35" t="s">
        <v>147</v>
      </c>
      <c r="J21" s="71" t="s">
        <v>223</v>
      </c>
    </row>
    <row r="22" spans="2:10" x14ac:dyDescent="0.25">
      <c r="C22" s="9" t="s">
        <v>225</v>
      </c>
      <c r="D22" s="12">
        <v>5</v>
      </c>
      <c r="E22" s="11" t="s">
        <v>1</v>
      </c>
      <c r="I22" s="35" t="s">
        <v>139</v>
      </c>
      <c r="J22" s="71" t="s">
        <v>223</v>
      </c>
    </row>
    <row r="23" spans="2:10" x14ac:dyDescent="0.25">
      <c r="C23" s="9" t="s">
        <v>226</v>
      </c>
      <c r="D23" s="63">
        <f>D21+2*D22</f>
        <v>816.18399999999997</v>
      </c>
      <c r="E23" s="11" t="s">
        <v>1</v>
      </c>
      <c r="I23" s="35" t="s">
        <v>211</v>
      </c>
      <c r="J23" s="71" t="s">
        <v>223</v>
      </c>
    </row>
    <row r="24" spans="2:10" x14ac:dyDescent="0.25">
      <c r="C24" s="9" t="s">
        <v>227</v>
      </c>
      <c r="D24" s="12">
        <v>50</v>
      </c>
      <c r="E24" s="11" t="s">
        <v>1</v>
      </c>
      <c r="I24" s="35" t="s">
        <v>152</v>
      </c>
      <c r="J24" s="71" t="s">
        <v>223</v>
      </c>
    </row>
    <row r="25" spans="2:10" x14ac:dyDescent="0.25">
      <c r="C25" s="9" t="s">
        <v>228</v>
      </c>
      <c r="D25" s="74">
        <f>D8*0.009</f>
        <v>7.0919999999999996</v>
      </c>
      <c r="E25" s="11" t="s">
        <v>1</v>
      </c>
      <c r="I25" s="35" t="s">
        <v>137</v>
      </c>
      <c r="J25" s="71" t="s">
        <v>223</v>
      </c>
    </row>
    <row r="26" spans="2:10" x14ac:dyDescent="0.25">
      <c r="C26" s="9" t="s">
        <v>232</v>
      </c>
      <c r="D26" s="74">
        <f>(D21+2*D22/3)*PI()</f>
        <v>2543.1737073535996</v>
      </c>
      <c r="E26" s="11" t="s">
        <v>1</v>
      </c>
      <c r="J26" s="71" t="s">
        <v>223</v>
      </c>
    </row>
    <row r="27" spans="2:10" x14ac:dyDescent="0.25">
      <c r="C27" s="9" t="s">
        <v>350</v>
      </c>
      <c r="D27" s="74">
        <f>D23*0.3</f>
        <v>244.85519999999997</v>
      </c>
      <c r="E27" s="11" t="s">
        <v>1</v>
      </c>
      <c r="J27" s="71"/>
    </row>
    <row r="28" spans="2:10" x14ac:dyDescent="0.25">
      <c r="C28" s="13" t="s">
        <v>335</v>
      </c>
      <c r="D28" s="77">
        <v>6</v>
      </c>
      <c r="E28" s="15" t="s">
        <v>1</v>
      </c>
      <c r="J28" s="71"/>
    </row>
    <row r="29" spans="2:10" x14ac:dyDescent="0.25">
      <c r="D29" s="21"/>
    </row>
    <row r="30" spans="2:10" x14ac:dyDescent="0.25">
      <c r="B30" s="29" t="s">
        <v>258</v>
      </c>
      <c r="D30"/>
    </row>
    <row r="31" spans="2:10" x14ac:dyDescent="0.25">
      <c r="B31" s="29"/>
      <c r="C31" s="6" t="s">
        <v>257</v>
      </c>
      <c r="D31" s="7">
        <f>25.4*4.25</f>
        <v>107.94999999999999</v>
      </c>
      <c r="E31" s="8" t="s">
        <v>1</v>
      </c>
      <c r="I31" s="35" t="s">
        <v>214</v>
      </c>
      <c r="J31" s="71" t="s">
        <v>223</v>
      </c>
    </row>
    <row r="32" spans="2:10" x14ac:dyDescent="0.25">
      <c r="B32" s="29"/>
      <c r="C32" s="9" t="s">
        <v>329</v>
      </c>
      <c r="D32" s="12">
        <f>25.4*3</f>
        <v>76.199999999999989</v>
      </c>
      <c r="E32" s="11" t="s">
        <v>1</v>
      </c>
      <c r="I32" s="35" t="s">
        <v>215</v>
      </c>
      <c r="J32" s="71" t="s">
        <v>223</v>
      </c>
    </row>
    <row r="33" spans="2:10" x14ac:dyDescent="0.25">
      <c r="B33" s="29"/>
      <c r="C33" s="9" t="s">
        <v>330</v>
      </c>
      <c r="D33" s="12">
        <f>25.4*9</f>
        <v>228.6</v>
      </c>
      <c r="E33" s="11" t="s">
        <v>1</v>
      </c>
      <c r="J33" s="71" t="s">
        <v>223</v>
      </c>
    </row>
    <row r="34" spans="2:10" x14ac:dyDescent="0.25">
      <c r="B34" s="29"/>
      <c r="C34" s="9" t="s">
        <v>259</v>
      </c>
      <c r="D34" s="12">
        <v>91.3</v>
      </c>
      <c r="E34" s="11" t="s">
        <v>1</v>
      </c>
      <c r="J34" s="71"/>
    </row>
    <row r="35" spans="2:10" x14ac:dyDescent="0.25">
      <c r="B35" s="29"/>
      <c r="C35" s="9" t="s">
        <v>260</v>
      </c>
      <c r="D35" s="12">
        <v>76.2</v>
      </c>
      <c r="E35" s="11" t="s">
        <v>1</v>
      </c>
      <c r="J35" s="71"/>
    </row>
    <row r="36" spans="2:10" x14ac:dyDescent="0.25">
      <c r="B36" s="29"/>
      <c r="C36" s="9" t="s">
        <v>261</v>
      </c>
      <c r="D36" s="12">
        <v>250.1</v>
      </c>
      <c r="E36" s="11" t="s">
        <v>1</v>
      </c>
      <c r="J36" s="71"/>
    </row>
    <row r="37" spans="2:10" x14ac:dyDescent="0.25">
      <c r="B37" s="29"/>
      <c r="C37" s="9"/>
      <c r="D37" s="12"/>
      <c r="E37" s="11"/>
      <c r="J37" s="71"/>
    </row>
    <row r="38" spans="2:10" x14ac:dyDescent="0.25">
      <c r="B38" s="29"/>
      <c r="C38" s="9" t="s">
        <v>267</v>
      </c>
      <c r="D38" s="12">
        <v>133</v>
      </c>
      <c r="E38" s="11" t="s">
        <v>1</v>
      </c>
      <c r="J38" s="71"/>
    </row>
    <row r="39" spans="2:10" x14ac:dyDescent="0.25">
      <c r="B39" s="29"/>
      <c r="C39" s="9" t="s">
        <v>268</v>
      </c>
      <c r="D39" s="12">
        <v>85</v>
      </c>
      <c r="E39" s="11" t="s">
        <v>1</v>
      </c>
      <c r="J39" s="71"/>
    </row>
    <row r="40" spans="2:10" x14ac:dyDescent="0.25">
      <c r="B40" s="29"/>
      <c r="C40" s="9" t="s">
        <v>269</v>
      </c>
      <c r="D40" s="12">
        <v>350</v>
      </c>
      <c r="E40" s="11" t="s">
        <v>1</v>
      </c>
      <c r="J40" s="71"/>
    </row>
    <row r="41" spans="2:10" x14ac:dyDescent="0.25">
      <c r="B41" s="29"/>
      <c r="C41" s="9" t="s">
        <v>270</v>
      </c>
      <c r="D41" s="12">
        <f>4.25*25.4</f>
        <v>107.94999999999999</v>
      </c>
      <c r="E41" s="11" t="s">
        <v>1</v>
      </c>
      <c r="J41" s="71"/>
    </row>
    <row r="42" spans="2:10" x14ac:dyDescent="0.25">
      <c r="B42" s="29"/>
      <c r="C42" s="9" t="s">
        <v>271</v>
      </c>
      <c r="D42" s="12">
        <f>3*25.4</f>
        <v>76.199999999999989</v>
      </c>
      <c r="E42" s="11" t="s">
        <v>1</v>
      </c>
      <c r="J42" s="71"/>
    </row>
    <row r="43" spans="2:10" x14ac:dyDescent="0.25">
      <c r="B43" s="29"/>
      <c r="C43" s="9" t="s">
        <v>272</v>
      </c>
      <c r="D43" s="12">
        <f>9*25.4</f>
        <v>228.6</v>
      </c>
      <c r="E43" s="11" t="s">
        <v>1</v>
      </c>
      <c r="J43" s="71"/>
    </row>
    <row r="44" spans="2:10" x14ac:dyDescent="0.25">
      <c r="B44" s="29"/>
      <c r="C44" s="9" t="s">
        <v>262</v>
      </c>
      <c r="D44" s="12">
        <f>4.25*25.4</f>
        <v>107.94999999999999</v>
      </c>
      <c r="E44" s="11" t="s">
        <v>1</v>
      </c>
      <c r="J44" s="71"/>
    </row>
    <row r="45" spans="2:10" x14ac:dyDescent="0.25">
      <c r="B45" s="29"/>
      <c r="C45" s="9" t="s">
        <v>264</v>
      </c>
      <c r="D45" s="12">
        <f>3*25.4</f>
        <v>76.199999999999989</v>
      </c>
      <c r="E45" s="11" t="s">
        <v>1</v>
      </c>
      <c r="J45" s="71"/>
    </row>
    <row r="46" spans="2:10" x14ac:dyDescent="0.25">
      <c r="B46" s="29"/>
      <c r="C46" s="9" t="s">
        <v>263</v>
      </c>
      <c r="D46" s="12">
        <f>9*25.4</f>
        <v>228.6</v>
      </c>
      <c r="E46" s="11" t="s">
        <v>1</v>
      </c>
      <c r="J46" s="71"/>
    </row>
    <row r="47" spans="2:10" x14ac:dyDescent="0.25">
      <c r="B47" s="29"/>
      <c r="C47" s="9" t="s">
        <v>373</v>
      </c>
      <c r="D47" s="12">
        <v>3</v>
      </c>
      <c r="E47" s="11" t="s">
        <v>1</v>
      </c>
      <c r="J47" s="71"/>
    </row>
    <row r="48" spans="2:10" x14ac:dyDescent="0.25">
      <c r="B48" s="29"/>
      <c r="C48" s="13" t="s">
        <v>282</v>
      </c>
      <c r="D48" s="77">
        <v>15</v>
      </c>
      <c r="E48" s="15" t="s">
        <v>283</v>
      </c>
      <c r="J48" s="71"/>
    </row>
    <row r="49" spans="2:15" x14ac:dyDescent="0.25">
      <c r="B49" s="29"/>
      <c r="D49"/>
      <c r="J49" s="71"/>
    </row>
    <row r="50" spans="2:15" x14ac:dyDescent="0.25">
      <c r="B50" s="29" t="s">
        <v>367</v>
      </c>
      <c r="D50"/>
      <c r="J50" s="71"/>
    </row>
    <row r="51" spans="2:15" x14ac:dyDescent="0.25">
      <c r="C51" s="6" t="s">
        <v>372</v>
      </c>
      <c r="D51" s="45">
        <f>D98+D79+D81+D57+D39</f>
        <v>1065.1939817094371</v>
      </c>
      <c r="E51" s="8" t="s">
        <v>1</v>
      </c>
      <c r="I51" s="35" t="s">
        <v>153</v>
      </c>
    </row>
    <row r="52" spans="2:15" x14ac:dyDescent="0.25">
      <c r="C52" s="9" t="s">
        <v>125</v>
      </c>
      <c r="D52" s="43">
        <f>D85+(D31*2)+(D34)*2+D48*2</f>
        <v>1300.5</v>
      </c>
      <c r="E52" s="11" t="s">
        <v>1</v>
      </c>
      <c r="I52" s="35" t="s">
        <v>140</v>
      </c>
      <c r="J52" s="71" t="s">
        <v>223</v>
      </c>
    </row>
    <row r="53" spans="2:15" x14ac:dyDescent="0.25">
      <c r="C53" s="9" t="s">
        <v>126</v>
      </c>
      <c r="D53" s="43">
        <f>D85+(D31*2)+(D34)*2+D48*2</f>
        <v>1300.5</v>
      </c>
      <c r="E53" s="11" t="s">
        <v>1</v>
      </c>
      <c r="I53" s="35" t="s">
        <v>160</v>
      </c>
      <c r="J53" s="71" t="s">
        <v>223</v>
      </c>
    </row>
    <row r="54" spans="2:15" x14ac:dyDescent="0.25">
      <c r="C54" s="13" t="s">
        <v>265</v>
      </c>
      <c r="D54" s="41">
        <f>D57</f>
        <v>106.19999999999999</v>
      </c>
      <c r="E54" s="15" t="s">
        <v>1</v>
      </c>
      <c r="I54" s="35" t="s">
        <v>237</v>
      </c>
    </row>
    <row r="55" spans="2:15" x14ac:dyDescent="0.25">
      <c r="D55" s="39"/>
    </row>
    <row r="56" spans="2:15" x14ac:dyDescent="0.25">
      <c r="B56" s="29" t="s">
        <v>255</v>
      </c>
      <c r="H56" s="26"/>
    </row>
    <row r="57" spans="2:15" x14ac:dyDescent="0.25">
      <c r="C57" s="6" t="s">
        <v>256</v>
      </c>
      <c r="D57" s="45">
        <f>IF(D77/2.6 &lt;D42+2*D48, D42+2*D48,D77/2.6)</f>
        <v>106.19999999999999</v>
      </c>
      <c r="E57" s="8" t="s">
        <v>1</v>
      </c>
      <c r="H57" s="26"/>
      <c r="I57" s="35" t="s">
        <v>180</v>
      </c>
      <c r="J57" s="71" t="s">
        <v>223</v>
      </c>
    </row>
    <row r="58" spans="2:15" x14ac:dyDescent="0.25">
      <c r="C58" s="9" t="s">
        <v>238</v>
      </c>
      <c r="D58" s="39">
        <f>D80</f>
        <v>265.64656281468308</v>
      </c>
      <c r="E58" s="11" t="s">
        <v>1</v>
      </c>
      <c r="H58" s="26"/>
      <c r="I58" s="35" t="s">
        <v>171</v>
      </c>
      <c r="J58" s="71" t="s">
        <v>223</v>
      </c>
    </row>
    <row r="59" spans="2:15" x14ac:dyDescent="0.25">
      <c r="C59" s="9" t="s">
        <v>286</v>
      </c>
      <c r="D59" s="10">
        <f>(D53-D80)/2+D80</f>
        <v>783.0732814073416</v>
      </c>
      <c r="E59" s="11" t="s">
        <v>1</v>
      </c>
      <c r="H59" s="26"/>
      <c r="I59" s="73" t="s">
        <v>149</v>
      </c>
      <c r="J59" s="78" t="s">
        <v>287</v>
      </c>
      <c r="K59" s="72" t="s">
        <v>288</v>
      </c>
    </row>
    <row r="60" spans="2:15" x14ac:dyDescent="0.25">
      <c r="C60" s="9" t="s">
        <v>337</v>
      </c>
      <c r="D60" s="12">
        <v>15</v>
      </c>
      <c r="E60" s="11" t="s">
        <v>1</v>
      </c>
      <c r="H60" s="26"/>
      <c r="I60" s="35" t="s">
        <v>169</v>
      </c>
      <c r="J60" s="71"/>
    </row>
    <row r="61" spans="2:15" x14ac:dyDescent="0.25">
      <c r="C61" s="13" t="s">
        <v>338</v>
      </c>
      <c r="D61" s="14">
        <f>D40+24</f>
        <v>374</v>
      </c>
      <c r="E61" s="15" t="s">
        <v>1</v>
      </c>
      <c r="H61" s="26"/>
      <c r="I61" s="35" t="s">
        <v>172</v>
      </c>
      <c r="J61" s="71" t="s">
        <v>223</v>
      </c>
    </row>
    <row r="62" spans="2:15" x14ac:dyDescent="0.25">
      <c r="D62" s="10"/>
      <c r="H62" s="26"/>
    </row>
    <row r="63" spans="2:15" x14ac:dyDescent="0.25">
      <c r="B63" s="29" t="s">
        <v>315</v>
      </c>
      <c r="D63" s="10"/>
      <c r="H63" s="26"/>
      <c r="J63" s="6" t="s">
        <v>361</v>
      </c>
      <c r="K63" s="60" t="s">
        <v>363</v>
      </c>
      <c r="L63" s="60" t="s">
        <v>362</v>
      </c>
      <c r="M63" s="16" t="s">
        <v>364</v>
      </c>
      <c r="N63" s="60"/>
      <c r="O63" s="8"/>
    </row>
    <row r="64" spans="2:15" x14ac:dyDescent="0.25">
      <c r="B64" s="29"/>
      <c r="C64" s="6" t="s">
        <v>336</v>
      </c>
      <c r="D64" s="16">
        <f>ROUNDDOWN((D67-D31-D48)/D38,1)</f>
        <v>2.9</v>
      </c>
      <c r="E64" s="8"/>
      <c r="H64" s="26"/>
      <c r="J64" s="32">
        <f>D64*D38</f>
        <v>385.7</v>
      </c>
      <c r="K64" s="39">
        <f>D67</f>
        <v>517.4267185926584</v>
      </c>
      <c r="L64" s="39">
        <f>-(J64-K64)-D31-D48</f>
        <v>8.7767185926584261</v>
      </c>
      <c r="M64" s="10" t="str">
        <f>IF(L64&gt;0,"Spare","Interference")</f>
        <v>Spare</v>
      </c>
      <c r="O64" s="11"/>
    </row>
    <row r="65" spans="2:15" x14ac:dyDescent="0.25">
      <c r="B65" s="29"/>
      <c r="C65" s="9" t="s">
        <v>358</v>
      </c>
      <c r="D65" s="10">
        <f>ROUNDUP(D194/(D38+D60),0)</f>
        <v>6</v>
      </c>
      <c r="E65" s="11"/>
      <c r="H65" s="26"/>
      <c r="J65" s="34">
        <f>D65*(D38+D60)-D60</f>
        <v>873</v>
      </c>
      <c r="K65" s="41">
        <f>D66</f>
        <v>783.0732814073416</v>
      </c>
      <c r="L65" s="41">
        <f>J65-K65</f>
        <v>89.926718592658403</v>
      </c>
      <c r="M65" s="61" t="s">
        <v>360</v>
      </c>
      <c r="N65" s="61"/>
      <c r="O65" s="15"/>
    </row>
    <row r="66" spans="2:15" x14ac:dyDescent="0.25">
      <c r="C66" s="9" t="s">
        <v>316</v>
      </c>
      <c r="D66" s="10">
        <f>(D53-D80)/2+D80</f>
        <v>783.0732814073416</v>
      </c>
      <c r="E66" s="11" t="s">
        <v>1</v>
      </c>
      <c r="H66" s="26"/>
      <c r="J66" s="71"/>
    </row>
    <row r="67" spans="2:15" x14ac:dyDescent="0.25">
      <c r="C67" s="9" t="s">
        <v>317</v>
      </c>
      <c r="D67" s="10">
        <f>D194-D80</f>
        <v>517.4267185926584</v>
      </c>
      <c r="E67" s="11" t="s">
        <v>1</v>
      </c>
      <c r="H67" s="26"/>
      <c r="J67" s="71"/>
    </row>
    <row r="68" spans="2:15" x14ac:dyDescent="0.25">
      <c r="C68" s="9" t="s">
        <v>109</v>
      </c>
      <c r="D68" s="10">
        <f>D77</f>
        <v>265.64656281468308</v>
      </c>
      <c r="E68" s="11" t="s">
        <v>1</v>
      </c>
      <c r="H68" s="26"/>
      <c r="I68" s="35" t="s">
        <v>145</v>
      </c>
      <c r="J68" s="71" t="s">
        <v>223</v>
      </c>
    </row>
    <row r="69" spans="2:15" x14ac:dyDescent="0.25">
      <c r="C69" s="13" t="s">
        <v>129</v>
      </c>
      <c r="D69" s="14">
        <f>D81</f>
        <v>177.98319708583767</v>
      </c>
      <c r="E69" s="15" t="s">
        <v>1</v>
      </c>
      <c r="H69" s="26"/>
      <c r="I69" s="35" t="s">
        <v>179</v>
      </c>
      <c r="J69" s="71" t="s">
        <v>223</v>
      </c>
    </row>
    <row r="70" spans="2:15" x14ac:dyDescent="0.25">
      <c r="D70" s="39"/>
    </row>
    <row r="71" spans="2:15" x14ac:dyDescent="0.25">
      <c r="B71" s="53" t="s">
        <v>177</v>
      </c>
    </row>
    <row r="72" spans="2:15" x14ac:dyDescent="0.25">
      <c r="C72" s="6" t="s">
        <v>266</v>
      </c>
      <c r="D72" s="56">
        <f>D96+D79+D81</f>
        <v>480.82027869457636</v>
      </c>
      <c r="E72" s="8" t="s">
        <v>1</v>
      </c>
      <c r="I72" s="35" t="s">
        <v>156</v>
      </c>
    </row>
    <row r="73" spans="2:15" x14ac:dyDescent="0.25">
      <c r="C73" s="13" t="s">
        <v>178</v>
      </c>
      <c r="D73" s="42">
        <f>D96+D79+D81+D57</f>
        <v>587.02027869457629</v>
      </c>
      <c r="E73" s="15" t="s">
        <v>1</v>
      </c>
      <c r="I73" s="35" t="s">
        <v>157</v>
      </c>
      <c r="J73" t="s">
        <v>280</v>
      </c>
    </row>
    <row r="74" spans="2:15" x14ac:dyDescent="0.25">
      <c r="D74" s="39"/>
    </row>
    <row r="75" spans="2:15" x14ac:dyDescent="0.25">
      <c r="B75" s="29" t="s">
        <v>309</v>
      </c>
      <c r="D75" s="10"/>
      <c r="H75" s="26"/>
    </row>
    <row r="76" spans="2:15" ht="17.25" x14ac:dyDescent="0.25">
      <c r="C76" s="6" t="s">
        <v>123</v>
      </c>
      <c r="D76" s="7">
        <v>65</v>
      </c>
      <c r="E76" s="8" t="s">
        <v>85</v>
      </c>
      <c r="H76" s="26"/>
      <c r="J76" s="71" t="s">
        <v>223</v>
      </c>
      <c r="K76" t="s">
        <v>239</v>
      </c>
    </row>
    <row r="77" spans="2:15" x14ac:dyDescent="0.25">
      <c r="C77" s="9" t="s">
        <v>110</v>
      </c>
      <c r="D77" s="10">
        <f>SQRT(D137/D76*82.5)</f>
        <v>265.64656281468308</v>
      </c>
      <c r="E77" s="11" t="s">
        <v>1</v>
      </c>
      <c r="H77" s="26"/>
      <c r="I77" s="35" t="s">
        <v>144</v>
      </c>
      <c r="J77" s="71" t="s">
        <v>223</v>
      </c>
    </row>
    <row r="78" spans="2:15" x14ac:dyDescent="0.25">
      <c r="C78" s="9" t="s">
        <v>369</v>
      </c>
      <c r="D78" s="10">
        <f>D77+2*D42+2*D48</f>
        <v>448.04656281468306</v>
      </c>
      <c r="E78" s="11" t="s">
        <v>1</v>
      </c>
      <c r="H78" s="26"/>
      <c r="J78" s="71"/>
    </row>
    <row r="79" spans="2:15" x14ac:dyDescent="0.25">
      <c r="C79" s="9" t="s">
        <v>252</v>
      </c>
      <c r="D79" s="10">
        <f>D77*0.79</f>
        <v>209.86078462359964</v>
      </c>
      <c r="E79" s="11" t="s">
        <v>1</v>
      </c>
      <c r="H79" s="26"/>
      <c r="I79" s="35" t="s">
        <v>164</v>
      </c>
      <c r="J79" s="71" t="s">
        <v>223</v>
      </c>
      <c r="K79" s="76"/>
    </row>
    <row r="80" spans="2:15" x14ac:dyDescent="0.25">
      <c r="C80" s="9" t="s">
        <v>253</v>
      </c>
      <c r="D80" s="10">
        <f>D77</f>
        <v>265.64656281468308</v>
      </c>
      <c r="E80" s="11" t="s">
        <v>1</v>
      </c>
      <c r="H80" s="26"/>
      <c r="I80" s="35" t="s">
        <v>167</v>
      </c>
      <c r="J80" s="71" t="s">
        <v>223</v>
      </c>
      <c r="K80" s="75"/>
    </row>
    <row r="81" spans="2:11" x14ac:dyDescent="0.25">
      <c r="C81" s="13" t="s">
        <v>254</v>
      </c>
      <c r="D81" s="14">
        <f>D77*0.67</f>
        <v>177.98319708583767</v>
      </c>
      <c r="E81" s="15" t="s">
        <v>1</v>
      </c>
      <c r="H81" s="26"/>
      <c r="I81" s="35" t="s">
        <v>176</v>
      </c>
      <c r="J81" s="71" t="s">
        <v>223</v>
      </c>
      <c r="K81" s="76"/>
    </row>
    <row r="83" spans="2:11" x14ac:dyDescent="0.25">
      <c r="B83" s="29" t="s">
        <v>119</v>
      </c>
      <c r="D83"/>
    </row>
    <row r="84" spans="2:11" x14ac:dyDescent="0.25">
      <c r="C84" s="6" t="s">
        <v>233</v>
      </c>
      <c r="D84" s="7">
        <v>40</v>
      </c>
      <c r="E84" s="8" t="s">
        <v>1</v>
      </c>
      <c r="I84" s="35" t="s">
        <v>138</v>
      </c>
      <c r="J84" s="71" t="s">
        <v>223</v>
      </c>
    </row>
    <row r="85" spans="2:11" x14ac:dyDescent="0.25">
      <c r="C85" s="9" t="s">
        <v>235</v>
      </c>
      <c r="D85" s="39">
        <f>D84*2+D16</f>
        <v>872</v>
      </c>
      <c r="E85" s="11" t="s">
        <v>1</v>
      </c>
      <c r="I85" s="35" t="s">
        <v>165</v>
      </c>
      <c r="J85" s="71" t="s">
        <v>223</v>
      </c>
    </row>
    <row r="86" spans="2:11" x14ac:dyDescent="0.25">
      <c r="C86" s="9" t="s">
        <v>120</v>
      </c>
      <c r="D86" s="39">
        <f>(D9+D12)-D15+D42-D28</f>
        <v>486.14999999999992</v>
      </c>
      <c r="E86" s="11" t="s">
        <v>1</v>
      </c>
      <c r="I86" s="35" t="s">
        <v>154</v>
      </c>
      <c r="J86" s="71" t="s">
        <v>223</v>
      </c>
      <c r="K86" s="76"/>
    </row>
    <row r="87" spans="2:11" x14ac:dyDescent="0.25">
      <c r="C87" s="9" t="s">
        <v>174</v>
      </c>
      <c r="D87" s="43">
        <f>D52</f>
        <v>1300.5</v>
      </c>
      <c r="E87" s="11" t="s">
        <v>1</v>
      </c>
      <c r="I87" s="35" t="s">
        <v>141</v>
      </c>
      <c r="J87" s="71" t="s">
        <v>223</v>
      </c>
    </row>
    <row r="88" spans="2:11" x14ac:dyDescent="0.25">
      <c r="C88" s="9" t="s">
        <v>173</v>
      </c>
      <c r="D88" s="10">
        <f>D87</f>
        <v>1300.5</v>
      </c>
      <c r="E88" s="11" t="s">
        <v>1</v>
      </c>
      <c r="I88" s="35" t="s">
        <v>161</v>
      </c>
      <c r="J88" s="71" t="s">
        <v>223</v>
      </c>
    </row>
    <row r="89" spans="2:11" x14ac:dyDescent="0.25">
      <c r="C89" s="9" t="s">
        <v>175</v>
      </c>
      <c r="D89" s="43">
        <f>D86</f>
        <v>486.14999999999992</v>
      </c>
      <c r="E89" s="11" t="s">
        <v>1</v>
      </c>
      <c r="I89" s="35" t="s">
        <v>155</v>
      </c>
      <c r="J89" s="71" t="s">
        <v>223</v>
      </c>
    </row>
    <row r="90" spans="2:11" x14ac:dyDescent="0.25">
      <c r="C90" s="13" t="s">
        <v>213</v>
      </c>
      <c r="D90" s="42">
        <f>(D52-D85)/2</f>
        <v>214.25</v>
      </c>
      <c r="E90" s="15" t="s">
        <v>1</v>
      </c>
      <c r="I90" s="35" t="s">
        <v>216</v>
      </c>
      <c r="J90" s="71" t="s">
        <v>223</v>
      </c>
    </row>
    <row r="91" spans="2:11" x14ac:dyDescent="0.25">
      <c r="D91" s="43"/>
    </row>
    <row r="92" spans="2:11" x14ac:dyDescent="0.25">
      <c r="B92" s="29" t="s">
        <v>311</v>
      </c>
      <c r="D92" s="26"/>
    </row>
    <row r="93" spans="2:11" x14ac:dyDescent="0.25">
      <c r="B93" s="29"/>
      <c r="C93" s="6" t="s">
        <v>353</v>
      </c>
      <c r="D93" s="45">
        <f>(D94*2+2*D95)/(D14*PI())*D96</f>
        <v>39.706479542619533</v>
      </c>
      <c r="E93" s="8" t="s">
        <v>1</v>
      </c>
      <c r="I93" s="35" t="s">
        <v>158</v>
      </c>
      <c r="J93" s="71" t="s">
        <v>223</v>
      </c>
    </row>
    <row r="94" spans="2:11" x14ac:dyDescent="0.25">
      <c r="C94" s="9" t="s">
        <v>312</v>
      </c>
      <c r="D94" s="10">
        <f>D77</f>
        <v>265.64656281468308</v>
      </c>
      <c r="E94" s="11" t="s">
        <v>1</v>
      </c>
      <c r="I94" s="73" t="s">
        <v>142</v>
      </c>
    </row>
    <row r="95" spans="2:11" x14ac:dyDescent="0.25">
      <c r="C95" s="9" t="s">
        <v>313</v>
      </c>
      <c r="D95" s="10">
        <f>D80</f>
        <v>265.64656281468308</v>
      </c>
      <c r="E95" s="11" t="s">
        <v>1</v>
      </c>
      <c r="I95" s="73" t="s">
        <v>143</v>
      </c>
    </row>
    <row r="96" spans="2:11" x14ac:dyDescent="0.25">
      <c r="C96" s="9" t="s">
        <v>314</v>
      </c>
      <c r="D96" s="10">
        <f>D94*0.35</f>
        <v>92.976296985139072</v>
      </c>
      <c r="E96" s="11" t="s">
        <v>1</v>
      </c>
      <c r="I96" s="35" t="s">
        <v>159</v>
      </c>
    </row>
    <row r="97" spans="2:11" x14ac:dyDescent="0.25">
      <c r="C97" s="9" t="s">
        <v>354</v>
      </c>
      <c r="D97" s="10">
        <f>D14+2*D84</f>
        <v>872</v>
      </c>
      <c r="E97" s="11" t="s">
        <v>1</v>
      </c>
    </row>
    <row r="98" spans="2:11" x14ac:dyDescent="0.25">
      <c r="C98" s="13" t="s">
        <v>355</v>
      </c>
      <c r="D98" s="14">
        <f>(D9+D12)-D15+D42-D28</f>
        <v>486.14999999999992</v>
      </c>
      <c r="E98" s="15" t="s">
        <v>1</v>
      </c>
    </row>
    <row r="100" spans="2:11" x14ac:dyDescent="0.25">
      <c r="B100" s="29" t="s">
        <v>71</v>
      </c>
      <c r="D100" s="26"/>
    </row>
    <row r="101" spans="2:11" x14ac:dyDescent="0.25">
      <c r="C101" s="6" t="s">
        <v>206</v>
      </c>
      <c r="D101" s="7">
        <v>152</v>
      </c>
      <c r="E101" s="8" t="s">
        <v>1</v>
      </c>
      <c r="F101" s="11"/>
      <c r="I101" s="35" t="s">
        <v>185</v>
      </c>
      <c r="J101" s="71" t="s">
        <v>223</v>
      </c>
    </row>
    <row r="102" spans="2:11" x14ac:dyDescent="0.25">
      <c r="C102" s="9" t="s">
        <v>209</v>
      </c>
      <c r="D102" s="18">
        <v>1.6</v>
      </c>
      <c r="E102" s="11" t="s">
        <v>1</v>
      </c>
      <c r="I102" s="35" t="s">
        <v>210</v>
      </c>
      <c r="J102" s="71" t="s">
        <v>223</v>
      </c>
    </row>
    <row r="103" spans="2:11" x14ac:dyDescent="0.25">
      <c r="C103" s="9" t="s">
        <v>207</v>
      </c>
      <c r="D103" s="39">
        <f>D101-2*D102</f>
        <v>148.80000000000001</v>
      </c>
      <c r="E103" s="11" t="s">
        <v>1</v>
      </c>
      <c r="I103" s="35" t="s">
        <v>208</v>
      </c>
      <c r="J103" s="71" t="s">
        <v>223</v>
      </c>
    </row>
    <row r="104" spans="2:11" x14ac:dyDescent="0.25">
      <c r="C104" s="9" t="s">
        <v>351</v>
      </c>
      <c r="D104" s="39">
        <f>1.45*D101</f>
        <v>220.4</v>
      </c>
      <c r="E104" s="11" t="s">
        <v>1</v>
      </c>
      <c r="J104" s="71"/>
    </row>
    <row r="105" spans="2:11" x14ac:dyDescent="0.25">
      <c r="C105" s="9" t="s">
        <v>352</v>
      </c>
      <c r="D105" s="39">
        <f>1.12*D101</f>
        <v>170.24</v>
      </c>
      <c r="E105" s="11" t="s">
        <v>1</v>
      </c>
      <c r="J105" s="71"/>
    </row>
    <row r="106" spans="2:11" x14ac:dyDescent="0.25">
      <c r="C106" s="13" t="s">
        <v>275</v>
      </c>
      <c r="D106" s="59">
        <f>D186</f>
        <v>2.8290007246418072</v>
      </c>
      <c r="E106" s="15" t="s">
        <v>52</v>
      </c>
      <c r="I106" s="68" t="s">
        <v>128</v>
      </c>
    </row>
    <row r="107" spans="2:11" x14ac:dyDescent="0.25">
      <c r="D107" s="43"/>
    </row>
    <row r="108" spans="2:11" x14ac:dyDescent="0.25">
      <c r="B108" s="29" t="s">
        <v>241</v>
      </c>
      <c r="D108" s="10"/>
      <c r="H108" s="26"/>
    </row>
    <row r="109" spans="2:11" x14ac:dyDescent="0.25">
      <c r="B109" s="28"/>
      <c r="C109" s="6" t="s">
        <v>273</v>
      </c>
      <c r="D109" s="16">
        <f>D40</f>
        <v>350</v>
      </c>
      <c r="E109" s="8" t="s">
        <v>1</v>
      </c>
      <c r="H109" s="26"/>
      <c r="I109" s="35" t="s">
        <v>168</v>
      </c>
      <c r="J109" s="71" t="s">
        <v>223</v>
      </c>
    </row>
    <row r="110" spans="2:11" x14ac:dyDescent="0.25">
      <c r="B110" s="28"/>
      <c r="C110" s="9" t="s">
        <v>240</v>
      </c>
      <c r="D110" s="10">
        <f>D39</f>
        <v>85</v>
      </c>
      <c r="E110" s="11" t="s">
        <v>1</v>
      </c>
      <c r="H110" s="26"/>
      <c r="I110" s="35" t="s">
        <v>146</v>
      </c>
      <c r="J110" s="71" t="s">
        <v>223</v>
      </c>
      <c r="K110" s="76"/>
    </row>
    <row r="111" spans="2:11" ht="17.25" x14ac:dyDescent="0.25">
      <c r="B111" s="28"/>
      <c r="C111" s="9" t="s">
        <v>274</v>
      </c>
      <c r="D111" s="10">
        <f>D113/D112</f>
        <v>3984.6984422202463</v>
      </c>
      <c r="E111" s="11" t="s">
        <v>90</v>
      </c>
      <c r="H111" s="26"/>
      <c r="I111" s="35" t="s">
        <v>163</v>
      </c>
      <c r="J111" s="71" t="s">
        <v>223</v>
      </c>
    </row>
    <row r="112" spans="2:11" x14ac:dyDescent="0.25">
      <c r="B112" s="28"/>
      <c r="C112" s="9" t="s">
        <v>297</v>
      </c>
      <c r="D112" s="10">
        <f>D65-1</f>
        <v>5</v>
      </c>
      <c r="E112" s="11"/>
      <c r="H112" s="26"/>
      <c r="I112" s="35" t="s">
        <v>166</v>
      </c>
      <c r="J112" s="71" t="s">
        <v>223</v>
      </c>
    </row>
    <row r="113" spans="2:13" ht="17.25" x14ac:dyDescent="0.25">
      <c r="B113" s="28"/>
      <c r="C113" s="9" t="s">
        <v>298</v>
      </c>
      <c r="D113" s="10">
        <f>D77*D60*D112</f>
        <v>19923.492211101231</v>
      </c>
      <c r="E113" s="11" t="s">
        <v>90</v>
      </c>
      <c r="H113" s="26"/>
      <c r="I113" s="35" t="s">
        <v>162</v>
      </c>
      <c r="J113" s="71" t="s">
        <v>223</v>
      </c>
    </row>
    <row r="114" spans="2:13" x14ac:dyDescent="0.25">
      <c r="B114" s="28"/>
      <c r="C114" s="13" t="s">
        <v>124</v>
      </c>
      <c r="D114" s="14">
        <f>SQRT(D111/PI())*2</f>
        <v>71.228334463747061</v>
      </c>
      <c r="E114" s="15" t="s">
        <v>1</v>
      </c>
      <c r="H114" s="26"/>
      <c r="I114" s="35" t="s">
        <v>150</v>
      </c>
      <c r="J114" s="71" t="s">
        <v>223</v>
      </c>
    </row>
    <row r="115" spans="2:13" x14ac:dyDescent="0.25">
      <c r="D115"/>
    </row>
    <row r="116" spans="2:13" x14ac:dyDescent="0.25">
      <c r="B116" s="29" t="s">
        <v>115</v>
      </c>
    </row>
    <row r="117" spans="2:13" ht="17.25" x14ac:dyDescent="0.25">
      <c r="C117" s="6" t="s">
        <v>247</v>
      </c>
      <c r="D117" s="16">
        <f>(D16/20)^2*PI()</f>
        <v>4926.5199356533703</v>
      </c>
      <c r="E117" s="8" t="s">
        <v>2</v>
      </c>
      <c r="G117" t="s">
        <v>248</v>
      </c>
      <c r="J117" s="71" t="s">
        <v>223</v>
      </c>
    </row>
    <row r="118" spans="2:13" x14ac:dyDescent="0.25">
      <c r="C118" s="9" t="s">
        <v>5</v>
      </c>
      <c r="D118" s="10">
        <f>D16*PI()</f>
        <v>2488.1413816431163</v>
      </c>
      <c r="E118" s="11" t="s">
        <v>1</v>
      </c>
      <c r="G118" t="s">
        <v>91</v>
      </c>
      <c r="J118" s="71" t="s">
        <v>223</v>
      </c>
      <c r="M118" s="3"/>
    </row>
    <row r="119" spans="2:13" x14ac:dyDescent="0.25">
      <c r="C119" s="9" t="s">
        <v>276</v>
      </c>
      <c r="D119" s="12">
        <v>60</v>
      </c>
      <c r="E119" s="11" t="s">
        <v>4</v>
      </c>
      <c r="G119" t="s">
        <v>251</v>
      </c>
      <c r="J119" s="71" t="s">
        <v>223</v>
      </c>
    </row>
    <row r="120" spans="2:13" ht="17.25" x14ac:dyDescent="0.25">
      <c r="C120" s="9" t="s">
        <v>249</v>
      </c>
      <c r="D120" s="10">
        <f>D118*D119/1000*((D18-D15-D24)/10)+D117</f>
        <v>10389.73196732716</v>
      </c>
      <c r="E120" s="11" t="s">
        <v>2</v>
      </c>
      <c r="G120" t="str">
        <f>"Bottom area plus side heated at the nominal rate over "&amp;D119&amp;"% of the available area."</f>
        <v>Bottom area plus side heated at the nominal rate over 60% of the available area.</v>
      </c>
      <c r="J120" s="71" t="s">
        <v>223</v>
      </c>
      <c r="L120" s="29"/>
    </row>
    <row r="121" spans="2:13" ht="17.25" x14ac:dyDescent="0.25">
      <c r="C121" s="9" t="s">
        <v>6</v>
      </c>
      <c r="D121" s="18">
        <v>2</v>
      </c>
      <c r="E121" s="11" t="s">
        <v>277</v>
      </c>
      <c r="G121" t="s">
        <v>250</v>
      </c>
      <c r="J121" s="71" t="s">
        <v>223</v>
      </c>
    </row>
    <row r="122" spans="2:13" x14ac:dyDescent="0.25">
      <c r="C122" s="9" t="s">
        <v>7</v>
      </c>
      <c r="D122" s="10">
        <f>D121*D120</f>
        <v>20779.463934654319</v>
      </c>
      <c r="E122" s="11" t="s">
        <v>8</v>
      </c>
      <c r="G122" t="s">
        <v>92</v>
      </c>
      <c r="J122" s="71" t="s">
        <v>223</v>
      </c>
    </row>
    <row r="123" spans="2:13" x14ac:dyDescent="0.25">
      <c r="C123" s="9" t="s">
        <v>9</v>
      </c>
      <c r="D123" s="12">
        <v>90</v>
      </c>
      <c r="E123" s="11" t="s">
        <v>4</v>
      </c>
      <c r="J123" s="71" t="s">
        <v>223</v>
      </c>
    </row>
    <row r="124" spans="2:13" x14ac:dyDescent="0.25">
      <c r="C124" s="9" t="s">
        <v>10</v>
      </c>
      <c r="D124" s="10">
        <f>D123/100*D10</f>
        <v>242.10796831959786</v>
      </c>
      <c r="E124" s="11" t="s">
        <v>3</v>
      </c>
      <c r="J124" s="71" t="s">
        <v>223</v>
      </c>
    </row>
    <row r="125" spans="2:13" x14ac:dyDescent="0.25">
      <c r="C125" s="9" t="s">
        <v>11</v>
      </c>
      <c r="D125" s="12">
        <v>25</v>
      </c>
      <c r="E125" s="30" t="s">
        <v>13</v>
      </c>
      <c r="J125" s="71" t="s">
        <v>223</v>
      </c>
    </row>
    <row r="126" spans="2:13" x14ac:dyDescent="0.25">
      <c r="C126" s="9" t="s">
        <v>12</v>
      </c>
      <c r="D126" s="12">
        <v>95</v>
      </c>
      <c r="E126" s="30" t="s">
        <v>13</v>
      </c>
      <c r="G126" t="s">
        <v>93</v>
      </c>
      <c r="J126" s="71" t="s">
        <v>223</v>
      </c>
      <c r="M126" s="3"/>
    </row>
    <row r="127" spans="2:13" x14ac:dyDescent="0.25">
      <c r="C127" s="9" t="s">
        <v>14</v>
      </c>
      <c r="D127" s="10">
        <f>D126-D125</f>
        <v>70</v>
      </c>
      <c r="E127" s="30" t="s">
        <v>13</v>
      </c>
      <c r="J127" s="71" t="s">
        <v>223</v>
      </c>
      <c r="M127" s="3"/>
    </row>
    <row r="128" spans="2:13" x14ac:dyDescent="0.25">
      <c r="C128" s="9" t="s">
        <v>15</v>
      </c>
      <c r="D128" s="21">
        <f>D124*4.186*D127/1000</f>
        <v>70.942476877008559</v>
      </c>
      <c r="E128" s="30" t="s">
        <v>16</v>
      </c>
      <c r="J128" s="71" t="s">
        <v>223</v>
      </c>
      <c r="M128" s="3"/>
    </row>
    <row r="129" spans="2:13" x14ac:dyDescent="0.25">
      <c r="C129" s="9" t="s">
        <v>17</v>
      </c>
      <c r="D129" s="10">
        <f>D128*1000000/D122/60</f>
        <v>56.901112479852763</v>
      </c>
      <c r="E129" s="30" t="s">
        <v>18</v>
      </c>
      <c r="G129" t="s">
        <v>77</v>
      </c>
      <c r="J129" s="71" t="s">
        <v>223</v>
      </c>
    </row>
    <row r="130" spans="2:13" x14ac:dyDescent="0.25">
      <c r="C130" s="9" t="s">
        <v>19</v>
      </c>
      <c r="D130" s="12">
        <v>5</v>
      </c>
      <c r="E130" s="30" t="s">
        <v>4</v>
      </c>
      <c r="G130" t="s">
        <v>87</v>
      </c>
      <c r="J130" s="71" t="s">
        <v>223</v>
      </c>
      <c r="M130" s="3"/>
    </row>
    <row r="131" spans="2:13" x14ac:dyDescent="0.25">
      <c r="C131" s="13" t="s">
        <v>20</v>
      </c>
      <c r="D131" s="14">
        <f>D129*(100+D130)/100</f>
        <v>59.746168103845406</v>
      </c>
      <c r="E131" s="31" t="s">
        <v>18</v>
      </c>
      <c r="G131" t="str">
        <f>"Expected boiling time for "&amp;ROUND(D124,0)&amp;" litres."</f>
        <v>Expected boiling time for 242 litres.</v>
      </c>
      <c r="J131" s="71" t="s">
        <v>223</v>
      </c>
    </row>
    <row r="133" spans="2:13" x14ac:dyDescent="0.25">
      <c r="B133" s="29" t="s">
        <v>114</v>
      </c>
    </row>
    <row r="134" spans="2:13" x14ac:dyDescent="0.25">
      <c r="C134" s="6" t="s">
        <v>111</v>
      </c>
      <c r="D134" s="7">
        <v>37</v>
      </c>
      <c r="E134" s="8" t="s">
        <v>278</v>
      </c>
      <c r="G134" t="s">
        <v>103</v>
      </c>
      <c r="J134" s="71" t="s">
        <v>223</v>
      </c>
    </row>
    <row r="135" spans="2:13" x14ac:dyDescent="0.25">
      <c r="C135" s="9" t="s">
        <v>112</v>
      </c>
      <c r="D135" s="10">
        <f>D122/(D134/100)</f>
        <v>56160.713336903566</v>
      </c>
      <c r="E135" s="11" t="s">
        <v>8</v>
      </c>
      <c r="G135" t="s">
        <v>78</v>
      </c>
      <c r="J135" s="71" t="s">
        <v>223</v>
      </c>
      <c r="L135" t="s">
        <v>113</v>
      </c>
    </row>
    <row r="136" spans="2:13" x14ac:dyDescent="0.25">
      <c r="C136" s="9" t="s">
        <v>21</v>
      </c>
      <c r="D136" s="12">
        <v>99</v>
      </c>
      <c r="E136" s="11" t="s">
        <v>4</v>
      </c>
      <c r="G136" t="s">
        <v>79</v>
      </c>
      <c r="J136" s="71" t="s">
        <v>223</v>
      </c>
    </row>
    <row r="137" spans="2:13" x14ac:dyDescent="0.25">
      <c r="C137" s="13" t="s">
        <v>86</v>
      </c>
      <c r="D137" s="14">
        <f>D135*(D136/100)</f>
        <v>55599.106203534531</v>
      </c>
      <c r="E137" s="15" t="s">
        <v>8</v>
      </c>
      <c r="G137" t="s">
        <v>88</v>
      </c>
      <c r="J137" s="71" t="s">
        <v>223</v>
      </c>
    </row>
    <row r="138" spans="2:13" x14ac:dyDescent="0.25">
      <c r="D138" s="10"/>
    </row>
    <row r="139" spans="2:13" x14ac:dyDescent="0.25">
      <c r="B139" s="29" t="s">
        <v>116</v>
      </c>
      <c r="D139" s="10"/>
    </row>
    <row r="140" spans="2:13" x14ac:dyDescent="0.25">
      <c r="C140" s="6" t="s">
        <v>29</v>
      </c>
      <c r="D140" s="7" t="s">
        <v>30</v>
      </c>
      <c r="E140" s="8"/>
      <c r="F140" s="8"/>
      <c r="J140" s="71" t="s">
        <v>223</v>
      </c>
    </row>
    <row r="141" spans="2:13" x14ac:dyDescent="0.25">
      <c r="C141" s="9" t="s">
        <v>31</v>
      </c>
      <c r="D141" s="12">
        <v>14</v>
      </c>
      <c r="E141" s="11" t="s">
        <v>32</v>
      </c>
      <c r="F141" s="11"/>
      <c r="J141" s="71" t="s">
        <v>223</v>
      </c>
    </row>
    <row r="142" spans="2:13" x14ac:dyDescent="0.25">
      <c r="C142" s="9" t="s">
        <v>33</v>
      </c>
      <c r="D142" s="17">
        <v>20</v>
      </c>
      <c r="E142" s="11" t="s">
        <v>34</v>
      </c>
      <c r="F142" s="11"/>
      <c r="G142" t="s">
        <v>94</v>
      </c>
      <c r="J142" s="71" t="s">
        <v>223</v>
      </c>
    </row>
    <row r="143" spans="2:13" x14ac:dyDescent="0.25">
      <c r="C143" s="9" t="s">
        <v>28</v>
      </c>
      <c r="D143" s="17">
        <v>5.85</v>
      </c>
      <c r="E143" s="11" t="s">
        <v>4</v>
      </c>
      <c r="F143" s="11"/>
      <c r="G143" t="s">
        <v>95</v>
      </c>
      <c r="J143" s="71" t="s">
        <v>223</v>
      </c>
    </row>
    <row r="144" spans="2:13" ht="18" x14ac:dyDescent="0.35">
      <c r="C144" s="9" t="s">
        <v>35</v>
      </c>
      <c r="D144" s="18">
        <v>19.399999999999999</v>
      </c>
      <c r="E144" s="11" t="s">
        <v>4</v>
      </c>
      <c r="F144" s="11"/>
      <c r="G144" t="s">
        <v>80</v>
      </c>
      <c r="J144" s="71" t="s">
        <v>223</v>
      </c>
    </row>
    <row r="145" spans="2:12" x14ac:dyDescent="0.25">
      <c r="C145" s="9" t="s">
        <v>23</v>
      </c>
      <c r="D145" s="19">
        <f>D142-(D143/100*9*2.592)</f>
        <v>18.635311999999999</v>
      </c>
      <c r="E145" s="11" t="s">
        <v>24</v>
      </c>
      <c r="F145" s="11"/>
      <c r="J145" s="71" t="s">
        <v>223</v>
      </c>
    </row>
    <row r="146" spans="2:12" x14ac:dyDescent="0.25">
      <c r="C146" s="9" t="s">
        <v>25</v>
      </c>
      <c r="D146" s="19">
        <f>(D145*(1-D141/100))-(D141*0.02592)</f>
        <v>15.663488319999999</v>
      </c>
      <c r="E146" s="11" t="s">
        <v>25</v>
      </c>
      <c r="F146" s="11"/>
      <c r="J146" s="71" t="s">
        <v>223</v>
      </c>
    </row>
    <row r="147" spans="2:12" x14ac:dyDescent="0.25">
      <c r="C147" s="9" t="s">
        <v>26</v>
      </c>
      <c r="D147" s="18">
        <v>45.6</v>
      </c>
      <c r="E147" s="11" t="s">
        <v>4</v>
      </c>
      <c r="F147" s="11"/>
      <c r="G147" t="s">
        <v>246</v>
      </c>
      <c r="J147" s="71" t="s">
        <v>223</v>
      </c>
    </row>
    <row r="148" spans="2:12" ht="18" x14ac:dyDescent="0.35">
      <c r="C148" s="9" t="s">
        <v>27</v>
      </c>
      <c r="D148" s="19">
        <f>D147/100*((1-D141/100)/12*44)</f>
        <v>1.4379200000000001</v>
      </c>
      <c r="E148" s="11" t="s">
        <v>97</v>
      </c>
      <c r="F148" s="11"/>
      <c r="G148" t="s">
        <v>96</v>
      </c>
      <c r="J148" s="71" t="s">
        <v>223</v>
      </c>
    </row>
    <row r="149" spans="2:12" x14ac:dyDescent="0.25">
      <c r="C149" s="13" t="s">
        <v>22</v>
      </c>
      <c r="D149" s="20">
        <f>D137/(D146*1000000)*3600</f>
        <v>12.778557256441605</v>
      </c>
      <c r="E149" s="15" t="s">
        <v>39</v>
      </c>
      <c r="F149" s="15"/>
      <c r="J149" s="71" t="s">
        <v>223</v>
      </c>
    </row>
    <row r="150" spans="2:12" x14ac:dyDescent="0.25">
      <c r="D150" s="2"/>
    </row>
    <row r="151" spans="2:12" x14ac:dyDescent="0.25">
      <c r="B151" s="29" t="s">
        <v>117</v>
      </c>
      <c r="D151" s="2"/>
    </row>
    <row r="152" spans="2:12" x14ac:dyDescent="0.25">
      <c r="C152" s="6" t="s">
        <v>48</v>
      </c>
      <c r="D152" s="23"/>
      <c r="E152" s="8"/>
      <c r="F152" s="8"/>
    </row>
    <row r="153" spans="2:12" ht="17.25" x14ac:dyDescent="0.25">
      <c r="C153" s="9" t="s">
        <v>40</v>
      </c>
      <c r="D153" s="17">
        <v>3.56</v>
      </c>
      <c r="E153" s="11" t="s">
        <v>37</v>
      </c>
      <c r="F153" s="11"/>
      <c r="G153" t="s">
        <v>242</v>
      </c>
      <c r="J153" s="71" t="s">
        <v>223</v>
      </c>
    </row>
    <row r="154" spans="2:12" x14ac:dyDescent="0.25">
      <c r="C154" s="9" t="s">
        <v>41</v>
      </c>
      <c r="D154" s="17">
        <v>4.0999999999999996</v>
      </c>
      <c r="E154" s="11" t="s">
        <v>38</v>
      </c>
      <c r="F154" s="11"/>
      <c r="J154" s="71" t="s">
        <v>223</v>
      </c>
    </row>
    <row r="155" spans="2:12" x14ac:dyDescent="0.25">
      <c r="C155" s="9" t="s">
        <v>36</v>
      </c>
      <c r="D155" s="12">
        <v>100</v>
      </c>
      <c r="E155" s="11" t="s">
        <v>4</v>
      </c>
      <c r="F155" s="11"/>
      <c r="J155" s="71" t="s">
        <v>223</v>
      </c>
    </row>
    <row r="156" spans="2:12" ht="17.25" x14ac:dyDescent="0.25">
      <c r="C156" s="9" t="s">
        <v>47</v>
      </c>
      <c r="D156" s="19">
        <f>D154*D155/100+D153</f>
        <v>7.66</v>
      </c>
      <c r="E156" s="11" t="s">
        <v>42</v>
      </c>
      <c r="F156" s="11"/>
      <c r="J156" s="71" t="s">
        <v>223</v>
      </c>
    </row>
    <row r="157" spans="2:12" ht="17.25" x14ac:dyDescent="0.25">
      <c r="C157" s="9" t="s">
        <v>46</v>
      </c>
      <c r="D157" s="19">
        <f>D154+D154*D155/100</f>
        <v>8.1999999999999993</v>
      </c>
      <c r="E157" s="11" t="s">
        <v>42</v>
      </c>
      <c r="F157" s="11"/>
      <c r="G157" t="s">
        <v>81</v>
      </c>
      <c r="J157" s="71" t="s">
        <v>223</v>
      </c>
    </row>
    <row r="158" spans="2:12" ht="17.25" x14ac:dyDescent="0.25">
      <c r="C158" s="9" t="s">
        <v>45</v>
      </c>
      <c r="D158" s="21">
        <f>D156*D149</f>
        <v>97.883748584342698</v>
      </c>
      <c r="E158" s="11" t="s">
        <v>43</v>
      </c>
      <c r="F158" s="11"/>
      <c r="J158" s="71" t="s">
        <v>223</v>
      </c>
      <c r="L158" s="80" t="s">
        <v>339</v>
      </c>
    </row>
    <row r="159" spans="2:12" ht="17.25" x14ac:dyDescent="0.25">
      <c r="C159" s="13" t="s">
        <v>44</v>
      </c>
      <c r="D159" s="22">
        <f>D157*D149</f>
        <v>104.78416950282116</v>
      </c>
      <c r="E159" s="15" t="s">
        <v>43</v>
      </c>
      <c r="F159" s="33" t="str">
        <f>ROUND(D159*1000/3600, 1)&amp;" L/sec"</f>
        <v>29.1 L/sec</v>
      </c>
      <c r="G159" s="9"/>
      <c r="J159" s="71" t="s">
        <v>223</v>
      </c>
    </row>
    <row r="160" spans="2:12" x14ac:dyDescent="0.25">
      <c r="F160" s="11"/>
    </row>
    <row r="161" spans="2:14" x14ac:dyDescent="0.25">
      <c r="B161" s="29" t="s">
        <v>118</v>
      </c>
      <c r="D161"/>
      <c r="F161" s="11"/>
    </row>
    <row r="162" spans="2:14" x14ac:dyDescent="0.25">
      <c r="C162" s="6" t="s">
        <v>49</v>
      </c>
      <c r="D162" s="40">
        <f>D158*1000/3600</f>
        <v>27.189930162317417</v>
      </c>
      <c r="E162" s="8" t="s">
        <v>50</v>
      </c>
      <c r="F162" s="11"/>
      <c r="J162" s="71" t="s">
        <v>223</v>
      </c>
    </row>
    <row r="163" spans="2:14" x14ac:dyDescent="0.25">
      <c r="C163" s="9" t="s">
        <v>51</v>
      </c>
      <c r="D163" s="12">
        <v>900</v>
      </c>
      <c r="E163" s="30" t="s">
        <v>13</v>
      </c>
      <c r="F163" s="48" t="s">
        <v>82</v>
      </c>
      <c r="J163" s="71" t="s">
        <v>223</v>
      </c>
      <c r="M163" s="4" t="s">
        <v>100</v>
      </c>
    </row>
    <row r="164" spans="2:14" ht="17.25" x14ac:dyDescent="0.25">
      <c r="C164" s="9" t="str">
        <f>"Density at "&amp;D163&amp;"°C"</f>
        <v>Density at 900°C</v>
      </c>
      <c r="D164" s="24">
        <v>0.3009</v>
      </c>
      <c r="E164" s="30" t="s">
        <v>53</v>
      </c>
      <c r="F164" s="11"/>
      <c r="I164" s="35" t="s">
        <v>58</v>
      </c>
      <c r="J164" s="71" t="s">
        <v>223</v>
      </c>
      <c r="M164" s="4" t="s">
        <v>58</v>
      </c>
      <c r="N164" t="s">
        <v>59</v>
      </c>
    </row>
    <row r="165" spans="2:14" ht="17.25" x14ac:dyDescent="0.25">
      <c r="B165" s="28" t="s">
        <v>356</v>
      </c>
      <c r="C165" s="9" t="s">
        <v>74</v>
      </c>
      <c r="D165" s="10">
        <f>D159/D164</f>
        <v>348.23585743709259</v>
      </c>
      <c r="E165" s="11" t="s">
        <v>43</v>
      </c>
      <c r="F165" s="11"/>
      <c r="H165" t="s">
        <v>62</v>
      </c>
      <c r="I165" s="65">
        <v>900</v>
      </c>
      <c r="J165" s="5" t="s">
        <v>13</v>
      </c>
      <c r="M165" s="38">
        <v>1000</v>
      </c>
      <c r="N165" s="25">
        <v>0.27729999999999999</v>
      </c>
    </row>
    <row r="166" spans="2:14" x14ac:dyDescent="0.25">
      <c r="C166" s="9" t="s">
        <v>75</v>
      </c>
      <c r="D166" s="10">
        <f>D165/3.6</f>
        <v>96.732182621414609</v>
      </c>
      <c r="E166" s="11" t="s">
        <v>57</v>
      </c>
      <c r="F166" s="11"/>
      <c r="H166" t="s">
        <v>63</v>
      </c>
      <c r="I166" s="65">
        <v>350</v>
      </c>
      <c r="J166" s="5" t="s">
        <v>13</v>
      </c>
      <c r="M166" s="38">
        <v>900</v>
      </c>
      <c r="N166" s="25">
        <v>0.3009</v>
      </c>
    </row>
    <row r="167" spans="2:14" x14ac:dyDescent="0.25">
      <c r="C167" s="9" t="s">
        <v>340</v>
      </c>
      <c r="D167" s="19">
        <f>D166/(D77/1000*D80)</f>
        <v>1.3707636686394193</v>
      </c>
      <c r="E167" s="11" t="s">
        <v>52</v>
      </c>
      <c r="F167" s="11"/>
      <c r="H167" t="s">
        <v>64</v>
      </c>
      <c r="I167" s="35">
        <f>I165-I166</f>
        <v>550</v>
      </c>
      <c r="J167" s="5" t="s">
        <v>13</v>
      </c>
      <c r="M167" s="38">
        <v>800</v>
      </c>
      <c r="N167" s="25">
        <v>0.32890000000000003</v>
      </c>
    </row>
    <row r="168" spans="2:14" x14ac:dyDescent="0.25">
      <c r="C168" s="9" t="s">
        <v>99</v>
      </c>
      <c r="D168" s="10">
        <f>D96</f>
        <v>92.976296985139072</v>
      </c>
      <c r="E168" s="11" t="s">
        <v>1</v>
      </c>
      <c r="F168" s="11"/>
      <c r="H168" t="s">
        <v>102</v>
      </c>
      <c r="I168" s="66">
        <v>0.33500000000000002</v>
      </c>
      <c r="J168" s="5" t="s">
        <v>122</v>
      </c>
      <c r="M168" s="38">
        <v>700</v>
      </c>
      <c r="N168" s="25">
        <v>0.36259999999999998</v>
      </c>
    </row>
    <row r="169" spans="2:14" x14ac:dyDescent="0.25">
      <c r="C169" s="9" t="s">
        <v>341</v>
      </c>
      <c r="D169" s="20">
        <f>D165/3600/(D231/1000*(D96/1000))</f>
        <v>2.0338249506510868</v>
      </c>
      <c r="E169" s="15" t="str">
        <f>"m/sec (@ "&amp;D163&amp;" C)"</f>
        <v>m/sec (@ 900 C)</v>
      </c>
      <c r="F169" s="15"/>
      <c r="H169" t="s">
        <v>65</v>
      </c>
      <c r="I169" s="67">
        <f>I168*I167</f>
        <v>184.25</v>
      </c>
      <c r="J169" s="5" t="s">
        <v>13</v>
      </c>
      <c r="M169" s="34">
        <v>600</v>
      </c>
      <c r="N169" s="15">
        <v>0.40429999999999999</v>
      </c>
    </row>
    <row r="170" spans="2:14" x14ac:dyDescent="0.25">
      <c r="B170" s="28" t="s">
        <v>60</v>
      </c>
      <c r="C170" s="9" t="s">
        <v>98</v>
      </c>
      <c r="D170" s="12">
        <v>535</v>
      </c>
      <c r="E170" s="30" t="s">
        <v>13</v>
      </c>
      <c r="H170" t="s">
        <v>101</v>
      </c>
      <c r="I170" s="67">
        <f>I169+I166</f>
        <v>534.25</v>
      </c>
      <c r="J170" s="5" t="s">
        <v>13</v>
      </c>
      <c r="M170" s="38">
        <v>535</v>
      </c>
      <c r="N170" s="25">
        <f>N171-(M170-M171)/(M169-M171)*(N171-N169)</f>
        <v>0.43835999999999997</v>
      </c>
    </row>
    <row r="171" spans="2:14" x14ac:dyDescent="0.25">
      <c r="C171" s="9" t="s">
        <v>76</v>
      </c>
      <c r="D171" s="24">
        <v>0.43840000000000001</v>
      </c>
      <c r="E171" s="30" t="s">
        <v>61</v>
      </c>
      <c r="F171" s="8"/>
      <c r="H171" t="s">
        <v>66</v>
      </c>
      <c r="J171" s="71" t="s">
        <v>223</v>
      </c>
      <c r="M171" s="38">
        <v>500</v>
      </c>
      <c r="N171" s="25">
        <v>0.45669999999999999</v>
      </c>
    </row>
    <row r="172" spans="2:14" ht="17.25" x14ac:dyDescent="0.25">
      <c r="C172" s="9" t="s">
        <v>54</v>
      </c>
      <c r="D172" s="10">
        <f>D165*(D164/D171)</f>
        <v>239.0149851797928</v>
      </c>
      <c r="E172" s="11" t="s">
        <v>43</v>
      </c>
      <c r="F172" s="48" t="s">
        <v>83</v>
      </c>
      <c r="H172" t="s">
        <v>67</v>
      </c>
      <c r="J172" s="71" t="s">
        <v>223</v>
      </c>
      <c r="M172" s="38">
        <v>350</v>
      </c>
      <c r="N172" s="37">
        <v>0.56699999999999995</v>
      </c>
    </row>
    <row r="173" spans="2:14" x14ac:dyDescent="0.25">
      <c r="C173" s="9" t="s">
        <v>55</v>
      </c>
      <c r="D173" s="10">
        <f>D172/3600*1000</f>
        <v>66.393051438831336</v>
      </c>
      <c r="E173" s="11" t="s">
        <v>57</v>
      </c>
      <c r="F173" s="11"/>
      <c r="J173" s="71" t="s">
        <v>223</v>
      </c>
      <c r="M173" s="38">
        <v>225</v>
      </c>
      <c r="N173" s="37">
        <v>0.70799999999999996</v>
      </c>
    </row>
    <row r="174" spans="2:14" x14ac:dyDescent="0.25">
      <c r="C174" s="9" t="s">
        <v>357</v>
      </c>
      <c r="D174" s="10">
        <f>D93</f>
        <v>39.706479542619533</v>
      </c>
      <c r="E174" s="11" t="s">
        <v>1</v>
      </c>
      <c r="F174" s="11"/>
      <c r="J174" s="71" t="s">
        <v>223</v>
      </c>
    </row>
    <row r="175" spans="2:14" x14ac:dyDescent="0.25">
      <c r="C175" s="9" t="s">
        <v>68</v>
      </c>
      <c r="D175" s="19">
        <f>D172/(D118/1000*(D174/1000))/3600</f>
        <v>0.67202617944082588</v>
      </c>
      <c r="E175" s="11" t="s">
        <v>52</v>
      </c>
      <c r="F175" s="11"/>
      <c r="J175" s="71" t="s">
        <v>223</v>
      </c>
    </row>
    <row r="176" spans="2:14" x14ac:dyDescent="0.25">
      <c r="C176" s="9" t="s">
        <v>243</v>
      </c>
      <c r="D176" s="21">
        <f>D84</f>
        <v>40</v>
      </c>
      <c r="E176" s="11" t="s">
        <v>1</v>
      </c>
      <c r="F176" s="11"/>
      <c r="J176" s="71" t="s">
        <v>223</v>
      </c>
    </row>
    <row r="177" spans="2:11" x14ac:dyDescent="0.25">
      <c r="C177" s="13" t="s">
        <v>69</v>
      </c>
      <c r="D177" s="27">
        <f>(D172/3600)/((((D16+2*D176)/2)^2*PI()/1000000)-((D16/2)^2*PI()/1000000))</f>
        <v>0.63502297616853853</v>
      </c>
      <c r="E177" s="15" t="s">
        <v>52</v>
      </c>
      <c r="F177" s="58"/>
      <c r="J177" s="71" t="s">
        <v>223</v>
      </c>
    </row>
    <row r="179" spans="2:11" x14ac:dyDescent="0.25">
      <c r="B179" s="53" t="s">
        <v>127</v>
      </c>
    </row>
    <row r="180" spans="2:11" x14ac:dyDescent="0.25">
      <c r="B180" s="28" t="s">
        <v>342</v>
      </c>
      <c r="C180" s="6" t="s">
        <v>70</v>
      </c>
      <c r="D180" s="7">
        <v>350</v>
      </c>
      <c r="E180" s="44" t="s">
        <v>121</v>
      </c>
      <c r="F180" s="52" t="s">
        <v>84</v>
      </c>
      <c r="J180" s="71" t="s">
        <v>223</v>
      </c>
    </row>
    <row r="181" spans="2:11" x14ac:dyDescent="0.25">
      <c r="C181" s="9" t="s">
        <v>76</v>
      </c>
      <c r="D181" s="24">
        <v>0.56699999999999995</v>
      </c>
      <c r="E181" s="30" t="s">
        <v>61</v>
      </c>
      <c r="F181" s="11"/>
      <c r="J181" s="71" t="s">
        <v>223</v>
      </c>
      <c r="K181" t="s">
        <v>289</v>
      </c>
    </row>
    <row r="182" spans="2:11" x14ac:dyDescent="0.25">
      <c r="C182" s="9" t="s">
        <v>72</v>
      </c>
      <c r="D182" s="39">
        <f>D164/D181*D166</f>
        <v>51.334592153057599</v>
      </c>
      <c r="E182" s="30" t="s">
        <v>56</v>
      </c>
      <c r="F182" s="11"/>
      <c r="J182" s="71" t="s">
        <v>223</v>
      </c>
    </row>
    <row r="183" spans="2:11" x14ac:dyDescent="0.25">
      <c r="C183" s="9" t="s">
        <v>244</v>
      </c>
      <c r="D183" s="10">
        <f>D101</f>
        <v>152</v>
      </c>
      <c r="E183" s="30" t="s">
        <v>1</v>
      </c>
      <c r="F183" s="11"/>
      <c r="J183" s="71" t="s">
        <v>223</v>
      </c>
    </row>
    <row r="184" spans="2:11" x14ac:dyDescent="0.25">
      <c r="C184" s="9" t="s">
        <v>245</v>
      </c>
      <c r="D184" s="10">
        <f>1.84*D183</f>
        <v>279.68</v>
      </c>
      <c r="E184" s="30" t="s">
        <v>1</v>
      </c>
      <c r="F184" s="11"/>
      <c r="J184" s="71" t="s">
        <v>223</v>
      </c>
    </row>
    <row r="185" spans="2:11" x14ac:dyDescent="0.25">
      <c r="C185" s="9" t="s">
        <v>343</v>
      </c>
      <c r="D185" s="19">
        <f>(D182/1000)/((D183/1000*25/1000)*2+(D184/1000*25/1000)*2)</f>
        <v>2.3783632391149743</v>
      </c>
      <c r="E185" s="11" t="s">
        <v>52</v>
      </c>
      <c r="F185" s="11"/>
      <c r="J185" s="71" t="s">
        <v>223</v>
      </c>
    </row>
    <row r="186" spans="2:11" x14ac:dyDescent="0.25">
      <c r="C186" s="13" t="str">
        <f>"Gas velocity in chimney @ "&amp;D180&amp;"°"</f>
        <v>Gas velocity in chimney @ 350°</v>
      </c>
      <c r="D186" s="20">
        <f>D182/(((D101/100)/2)^2*PI())/10</f>
        <v>2.8290007246418072</v>
      </c>
      <c r="E186" s="15" t="str">
        <f>"m/sec at "&amp;ROUND(D137/1000,1)&amp;" kW"</f>
        <v>m/sec at 55.6 kW</v>
      </c>
      <c r="F186" s="15"/>
      <c r="J186" s="71" t="s">
        <v>223</v>
      </c>
    </row>
    <row r="187" spans="2:11" x14ac:dyDescent="0.25">
      <c r="D187" s="2"/>
      <c r="J187" s="71" t="s">
        <v>223</v>
      </c>
      <c r="K187" s="4" t="s">
        <v>73</v>
      </c>
    </row>
    <row r="188" spans="2:11" x14ac:dyDescent="0.25">
      <c r="B188" s="29" t="s">
        <v>195</v>
      </c>
    </row>
    <row r="189" spans="2:11" x14ac:dyDescent="0.25">
      <c r="B189" s="29" t="s">
        <v>290</v>
      </c>
      <c r="C189" s="6" t="s">
        <v>281</v>
      </c>
      <c r="D189" s="16">
        <f>D57-D48</f>
        <v>91.199999999999989</v>
      </c>
      <c r="E189" s="8" t="s">
        <v>1</v>
      </c>
      <c r="I189" s="35" t="s">
        <v>180</v>
      </c>
    </row>
    <row r="190" spans="2:11" x14ac:dyDescent="0.25">
      <c r="B190" s="29"/>
      <c r="C190" s="9" t="s">
        <v>292</v>
      </c>
      <c r="D190" s="10">
        <f>D53</f>
        <v>1300.5</v>
      </c>
      <c r="E190" s="11" t="s">
        <v>1</v>
      </c>
      <c r="I190" s="35" t="str">
        <f>I53</f>
        <v>L1</v>
      </c>
    </row>
    <row r="191" spans="2:11" x14ac:dyDescent="0.25">
      <c r="B191" s="29"/>
      <c r="C191" s="9" t="s">
        <v>291</v>
      </c>
      <c r="D191" s="10">
        <f>D52</f>
        <v>1300.5</v>
      </c>
      <c r="E191" s="11" t="s">
        <v>1</v>
      </c>
      <c r="I191" s="35" t="str">
        <f>I52</f>
        <v>W3</v>
      </c>
    </row>
    <row r="192" spans="2:11" x14ac:dyDescent="0.25">
      <c r="B192" s="29"/>
      <c r="C192" s="9" t="s">
        <v>293</v>
      </c>
      <c r="D192" s="10">
        <f>D58</f>
        <v>265.64656281468308</v>
      </c>
      <c r="E192" s="11" t="s">
        <v>1</v>
      </c>
      <c r="I192" s="79" t="str">
        <f>I58</f>
        <v>W12</v>
      </c>
    </row>
    <row r="193" spans="2:10" x14ac:dyDescent="0.25">
      <c r="C193" s="9" t="s">
        <v>279</v>
      </c>
      <c r="D193" s="10">
        <f>D190-D194</f>
        <v>517.42671859265852</v>
      </c>
      <c r="E193" s="11" t="s">
        <v>1</v>
      </c>
      <c r="I193" s="35" t="s">
        <v>189</v>
      </c>
    </row>
    <row r="194" spans="2:10" x14ac:dyDescent="0.25">
      <c r="C194" s="9" t="s">
        <v>186</v>
      </c>
      <c r="D194" s="10">
        <f>D53/2+D58/2</f>
        <v>783.07328140734148</v>
      </c>
      <c r="E194" s="11" t="s">
        <v>1</v>
      </c>
      <c r="I194" s="35" t="s">
        <v>190</v>
      </c>
    </row>
    <row r="195" spans="2:10" x14ac:dyDescent="0.25">
      <c r="C195" s="9" t="s">
        <v>187</v>
      </c>
      <c r="D195" s="10">
        <f>D53/2+D58/2+15-D109-D110</f>
        <v>363.07328140734148</v>
      </c>
      <c r="E195" s="11" t="s">
        <v>1</v>
      </c>
      <c r="I195" s="35" t="s">
        <v>191</v>
      </c>
      <c r="J195" t="s">
        <v>280</v>
      </c>
    </row>
    <row r="196" spans="2:10" x14ac:dyDescent="0.25">
      <c r="C196" s="9" t="s">
        <v>188</v>
      </c>
      <c r="D196" s="10">
        <f>D194-D195</f>
        <v>420</v>
      </c>
      <c r="E196" s="11" t="s">
        <v>1</v>
      </c>
      <c r="I196" s="35" t="s">
        <v>192</v>
      </c>
      <c r="J196" t="s">
        <v>280</v>
      </c>
    </row>
    <row r="197" spans="2:10" x14ac:dyDescent="0.25">
      <c r="C197" s="13" t="s">
        <v>193</v>
      </c>
      <c r="D197" s="14">
        <f>(D190-D58)/2</f>
        <v>517.42671859265852</v>
      </c>
      <c r="E197" s="15" t="s">
        <v>1</v>
      </c>
      <c r="I197" s="35" t="s">
        <v>194</v>
      </c>
    </row>
    <row r="199" spans="2:10" x14ac:dyDescent="0.25">
      <c r="B199" s="29" t="s">
        <v>199</v>
      </c>
    </row>
    <row r="200" spans="2:10" x14ac:dyDescent="0.25">
      <c r="B200" s="29" t="s">
        <v>290</v>
      </c>
      <c r="C200" s="6" t="s">
        <v>284</v>
      </c>
      <c r="D200" s="16">
        <f>D189+D39+D48-5</f>
        <v>186.2</v>
      </c>
      <c r="E200" s="8" t="s">
        <v>1</v>
      </c>
      <c r="I200" s="35" t="s">
        <v>176</v>
      </c>
    </row>
    <row r="201" spans="2:10" x14ac:dyDescent="0.25">
      <c r="C201" s="9" t="s">
        <v>295</v>
      </c>
      <c r="D201" s="10">
        <f>D200</f>
        <v>186.2</v>
      </c>
      <c r="E201" s="11" t="s">
        <v>1</v>
      </c>
      <c r="I201" s="35" t="s">
        <v>145</v>
      </c>
    </row>
    <row r="202" spans="2:10" x14ac:dyDescent="0.25">
      <c r="C202" s="9" t="s">
        <v>296</v>
      </c>
      <c r="D202" s="10">
        <f>D65*D38+(D65-1)*D60</f>
        <v>873</v>
      </c>
      <c r="E202" s="11" t="s">
        <v>1</v>
      </c>
      <c r="I202" s="73" t="s">
        <v>196</v>
      </c>
      <c r="J202" t="s">
        <v>280</v>
      </c>
    </row>
    <row r="203" spans="2:10" x14ac:dyDescent="0.25">
      <c r="C203" s="9" t="s">
        <v>294</v>
      </c>
      <c r="D203" s="10">
        <f>D204+2*D41</f>
        <v>595.9</v>
      </c>
      <c r="E203" s="11" t="s">
        <v>1</v>
      </c>
      <c r="I203" s="73" t="s">
        <v>197</v>
      </c>
    </row>
    <row r="204" spans="2:10" x14ac:dyDescent="0.25">
      <c r="C204" s="13" t="s">
        <v>299</v>
      </c>
      <c r="D204" s="14">
        <f>D40+2*D48</f>
        <v>380</v>
      </c>
      <c r="E204" s="15" t="s">
        <v>1</v>
      </c>
      <c r="I204" s="73" t="s">
        <v>198</v>
      </c>
      <c r="J204" t="s">
        <v>280</v>
      </c>
    </row>
    <row r="206" spans="2:10" x14ac:dyDescent="0.25">
      <c r="B206" s="29" t="s">
        <v>200</v>
      </c>
    </row>
    <row r="207" spans="2:10" x14ac:dyDescent="0.25">
      <c r="B207" s="29" t="s">
        <v>290</v>
      </c>
      <c r="C207" s="6" t="s">
        <v>285</v>
      </c>
      <c r="D207" s="16">
        <f>D189+D200</f>
        <v>277.39999999999998</v>
      </c>
      <c r="E207" s="8" t="s">
        <v>1</v>
      </c>
      <c r="I207" s="35" t="s">
        <v>164</v>
      </c>
    </row>
    <row r="208" spans="2:10" x14ac:dyDescent="0.25">
      <c r="C208" s="9" t="s">
        <v>300</v>
      </c>
      <c r="D208" s="10">
        <f>D192+160</f>
        <v>425.64656281468308</v>
      </c>
      <c r="E208" s="11" t="s">
        <v>1</v>
      </c>
      <c r="I208" s="73" t="s">
        <v>201</v>
      </c>
      <c r="J208" t="s">
        <v>303</v>
      </c>
    </row>
    <row r="209" spans="2:9" x14ac:dyDescent="0.25">
      <c r="C209" s="9" t="s">
        <v>301</v>
      </c>
      <c r="D209" s="10">
        <f>D31+D48</f>
        <v>122.94999999999999</v>
      </c>
      <c r="E209" s="11" t="s">
        <v>1</v>
      </c>
      <c r="I209" s="73" t="s">
        <v>202</v>
      </c>
    </row>
    <row r="210" spans="2:9" x14ac:dyDescent="0.25">
      <c r="C210" s="9" t="s">
        <v>306</v>
      </c>
      <c r="D210" s="10">
        <f>D77</f>
        <v>265.64656281468308</v>
      </c>
      <c r="E210" s="11" t="s">
        <v>1</v>
      </c>
      <c r="I210" s="35" t="str">
        <f>I77</f>
        <v>W10</v>
      </c>
    </row>
    <row r="211" spans="2:9" x14ac:dyDescent="0.25">
      <c r="C211" s="13" t="s">
        <v>302</v>
      </c>
      <c r="D211" s="14">
        <f>D194</f>
        <v>783.07328140734148</v>
      </c>
      <c r="E211" s="15" t="s">
        <v>1</v>
      </c>
      <c r="I211" s="73" t="s">
        <v>203</v>
      </c>
    </row>
    <row r="213" spans="2:9" x14ac:dyDescent="0.25">
      <c r="B213" s="29" t="s">
        <v>204</v>
      </c>
    </row>
    <row r="214" spans="2:9" x14ac:dyDescent="0.25">
      <c r="B214" s="29" t="s">
        <v>290</v>
      </c>
      <c r="C214" s="6" t="s">
        <v>304</v>
      </c>
      <c r="D214" s="16">
        <f>D207+D189</f>
        <v>368.59999999999997</v>
      </c>
      <c r="E214" s="8" t="s">
        <v>1</v>
      </c>
      <c r="I214" s="35" t="s">
        <v>159</v>
      </c>
    </row>
    <row r="215" spans="2:9" x14ac:dyDescent="0.25">
      <c r="C215" s="9" t="s">
        <v>308</v>
      </c>
      <c r="D215" s="10">
        <f>D214-D200</f>
        <v>182.39999999999998</v>
      </c>
      <c r="E215" s="11" t="s">
        <v>1</v>
      </c>
    </row>
    <row r="216" spans="2:9" x14ac:dyDescent="0.25">
      <c r="C216" s="13" t="s">
        <v>300</v>
      </c>
      <c r="D216" s="14">
        <f>D208</f>
        <v>425.64656281468308</v>
      </c>
      <c r="E216" s="15" t="s">
        <v>1</v>
      </c>
      <c r="I216" s="73" t="s">
        <v>142</v>
      </c>
    </row>
    <row r="218" spans="2:9" x14ac:dyDescent="0.25">
      <c r="B218" s="29" t="s">
        <v>205</v>
      </c>
    </row>
    <row r="219" spans="2:9" x14ac:dyDescent="0.25">
      <c r="B219" s="29" t="s">
        <v>290</v>
      </c>
      <c r="C219" s="6" t="s">
        <v>307</v>
      </c>
      <c r="D219" s="16">
        <f>D214+D189-5</f>
        <v>454.79999999999995</v>
      </c>
      <c r="E219" s="8" t="s">
        <v>1</v>
      </c>
      <c r="I219" s="73" t="s">
        <v>142</v>
      </c>
    </row>
    <row r="220" spans="2:9" x14ac:dyDescent="0.25">
      <c r="B220" s="29"/>
      <c r="C220" s="9" t="s">
        <v>300</v>
      </c>
      <c r="D220" s="10">
        <f>D216-148</f>
        <v>277.64656281468308</v>
      </c>
      <c r="E220" s="11" t="s">
        <v>1</v>
      </c>
      <c r="I220" s="73" t="s">
        <v>142</v>
      </c>
    </row>
    <row r="221" spans="2:9" x14ac:dyDescent="0.25">
      <c r="B221" s="29"/>
      <c r="C221" s="9" t="str">
        <f>C204</f>
        <v>Width to accommodate U-channels</v>
      </c>
      <c r="D221" s="39">
        <f>D204</f>
        <v>380</v>
      </c>
      <c r="E221" s="11" t="s">
        <v>1</v>
      </c>
      <c r="I221" s="73" t="s">
        <v>142</v>
      </c>
    </row>
    <row r="222" spans="2:9" x14ac:dyDescent="0.25">
      <c r="B222" s="29"/>
      <c r="C222" s="9" t="s">
        <v>310</v>
      </c>
      <c r="D222" s="39">
        <f>D67</f>
        <v>517.4267185926584</v>
      </c>
      <c r="E222" s="11" t="s">
        <v>1</v>
      </c>
    </row>
    <row r="223" spans="2:9" x14ac:dyDescent="0.25">
      <c r="B223" s="29"/>
      <c r="C223" s="9" t="s">
        <v>319</v>
      </c>
      <c r="D223" s="39">
        <f>D215+3</f>
        <v>185.39999999999998</v>
      </c>
      <c r="E223" s="11" t="s">
        <v>1</v>
      </c>
    </row>
    <row r="224" spans="2:9" x14ac:dyDescent="0.25">
      <c r="B224" s="29"/>
      <c r="C224" s="9" t="s">
        <v>253</v>
      </c>
      <c r="D224" s="39">
        <f>D211-D222</f>
        <v>265.64656281468308</v>
      </c>
      <c r="E224" s="11" t="s">
        <v>1</v>
      </c>
    </row>
    <row r="225" spans="2:5" x14ac:dyDescent="0.25">
      <c r="B225" s="29"/>
      <c r="C225" s="13" t="s">
        <v>318</v>
      </c>
      <c r="D225" s="41">
        <f>D210</f>
        <v>265.64656281468308</v>
      </c>
      <c r="E225" s="15" t="s">
        <v>1</v>
      </c>
    </row>
    <row r="226" spans="2:5" x14ac:dyDescent="0.25">
      <c r="B226" s="29"/>
      <c r="D226" s="63"/>
    </row>
    <row r="227" spans="2:5" x14ac:dyDescent="0.25">
      <c r="B227" s="29" t="s">
        <v>305</v>
      </c>
    </row>
    <row r="228" spans="2:5" x14ac:dyDescent="0.25">
      <c r="B228" s="29" t="s">
        <v>290</v>
      </c>
      <c r="C228" s="6" t="s">
        <v>320</v>
      </c>
      <c r="D228" s="16">
        <f>D219+D189</f>
        <v>546</v>
      </c>
      <c r="E228" s="8" t="s">
        <v>1</v>
      </c>
    </row>
    <row r="229" spans="2:5" x14ac:dyDescent="0.25">
      <c r="C229" s="9" t="s">
        <v>321</v>
      </c>
      <c r="D229" s="10">
        <f>D228-D42+D41</f>
        <v>577.75</v>
      </c>
      <c r="E229" s="11" t="s">
        <v>1</v>
      </c>
    </row>
    <row r="230" spans="2:5" x14ac:dyDescent="0.25">
      <c r="C230" s="9" t="s">
        <v>344</v>
      </c>
      <c r="D230" s="39"/>
      <c r="E230" s="11"/>
    </row>
    <row r="231" spans="2:5" x14ac:dyDescent="0.25">
      <c r="C231" s="9" t="s">
        <v>332</v>
      </c>
      <c r="D231" s="39">
        <f>D232+2*D41+2*D48</f>
        <v>511.54656281468306</v>
      </c>
      <c r="E231" s="11" t="s">
        <v>1</v>
      </c>
    </row>
    <row r="232" spans="2:5" x14ac:dyDescent="0.25">
      <c r="C232" s="9" t="s">
        <v>253</v>
      </c>
      <c r="D232" s="39">
        <f>D224</f>
        <v>265.64656281468308</v>
      </c>
      <c r="E232" s="11" t="s">
        <v>1</v>
      </c>
    </row>
    <row r="233" spans="2:5" x14ac:dyDescent="0.25">
      <c r="C233" s="9" t="s">
        <v>322</v>
      </c>
      <c r="D233" s="39">
        <f>D228-D200</f>
        <v>359.8</v>
      </c>
      <c r="E233" s="11" t="s">
        <v>1</v>
      </c>
    </row>
    <row r="234" spans="2:5" x14ac:dyDescent="0.25">
      <c r="C234" s="13" t="s">
        <v>323</v>
      </c>
      <c r="D234" s="41">
        <f>D233-D223+D41-D42</f>
        <v>206.15000000000003</v>
      </c>
      <c r="E234" s="15" t="s">
        <v>1</v>
      </c>
    </row>
    <row r="236" spans="2:5" x14ac:dyDescent="0.25">
      <c r="B236" s="29" t="s">
        <v>324</v>
      </c>
    </row>
    <row r="237" spans="2:5" x14ac:dyDescent="0.25">
      <c r="B237" s="29" t="s">
        <v>290</v>
      </c>
      <c r="C237" s="6" t="s">
        <v>325</v>
      </c>
      <c r="D237" s="16">
        <f>D228+D189</f>
        <v>637.20000000000005</v>
      </c>
      <c r="E237" s="8" t="s">
        <v>1</v>
      </c>
    </row>
    <row r="238" spans="2:5" x14ac:dyDescent="0.25">
      <c r="C238" s="9" t="s">
        <v>326</v>
      </c>
      <c r="D238" s="10">
        <f>D237+(D229-D228)</f>
        <v>668.95</v>
      </c>
      <c r="E238" s="11" t="s">
        <v>1</v>
      </c>
    </row>
    <row r="239" spans="2:5" x14ac:dyDescent="0.25">
      <c r="C239" s="9" t="s">
        <v>327</v>
      </c>
      <c r="D239" s="39">
        <f>D14+2*D84</f>
        <v>872</v>
      </c>
      <c r="E239" s="11" t="s">
        <v>1</v>
      </c>
    </row>
    <row r="240" spans="2:5" x14ac:dyDescent="0.25">
      <c r="C240" s="9" t="s">
        <v>328</v>
      </c>
      <c r="D240" s="39">
        <f>(D34*1.08)*2+D239</f>
        <v>1069.2080000000001</v>
      </c>
      <c r="E240" s="11" t="s">
        <v>1</v>
      </c>
    </row>
    <row r="241" spans="2:5" x14ac:dyDescent="0.25">
      <c r="C241" s="13" t="s">
        <v>331</v>
      </c>
      <c r="D241" s="41">
        <f>D87-(2*D31)</f>
        <v>1084.5999999999999</v>
      </c>
      <c r="E241" s="15" t="s">
        <v>1</v>
      </c>
    </row>
    <row r="243" spans="2:5" x14ac:dyDescent="0.25">
      <c r="B243" s="29" t="s">
        <v>333</v>
      </c>
    </row>
    <row r="244" spans="2:5" x14ac:dyDescent="0.25">
      <c r="B244" s="29" t="s">
        <v>290</v>
      </c>
      <c r="C244" s="6" t="s">
        <v>334</v>
      </c>
      <c r="D244" s="16">
        <f>D237+5*(D189-5)-15</f>
        <v>1053.2</v>
      </c>
      <c r="E244" s="8" t="s">
        <v>1</v>
      </c>
    </row>
    <row r="245" spans="2:5" x14ac:dyDescent="0.25">
      <c r="C245" s="9" t="s">
        <v>345</v>
      </c>
      <c r="D245" s="10">
        <f>D237+5*(D189-5)</f>
        <v>1068.2</v>
      </c>
      <c r="E245" s="11" t="s">
        <v>1</v>
      </c>
    </row>
    <row r="246" spans="2:5" x14ac:dyDescent="0.25">
      <c r="C246" s="9" t="s">
        <v>346</v>
      </c>
      <c r="D246" s="10">
        <f>((D87-D23)/2)*SIN(0.063)+D245</f>
        <v>1083.4458641889603</v>
      </c>
      <c r="E246" s="11" t="s">
        <v>1</v>
      </c>
    </row>
    <row r="247" spans="2:5" x14ac:dyDescent="0.25">
      <c r="C247" s="13" t="s">
        <v>347</v>
      </c>
      <c r="D247" s="14">
        <f>D238+4*(D35+D48+1)</f>
        <v>1037.75</v>
      </c>
      <c r="E247" s="15" t="s">
        <v>1</v>
      </c>
    </row>
  </sheetData>
  <conditionalFormatting sqref="L64">
    <cfRule type="cellIs" dxfId="3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520E2-5E1F-4956-AD75-B606DABC5C31}">
  <dimension ref="B2:O248"/>
  <sheetViews>
    <sheetView topLeftCell="A71" zoomScale="130" zoomScaleNormal="130" workbookViewId="0">
      <selection activeCell="D90" sqref="D90"/>
    </sheetView>
  </sheetViews>
  <sheetFormatPr defaultRowHeight="15" x14ac:dyDescent="0.25"/>
  <cols>
    <col min="1" max="1" width="6" customWidth="1"/>
    <col min="2" max="2" width="30" customWidth="1"/>
    <col min="3" max="3" width="35.42578125" customWidth="1"/>
    <col min="4" max="4" width="19.42578125" style="4" bestFit="1" customWidth="1"/>
    <col min="5" max="5" width="17" customWidth="1"/>
    <col min="6" max="6" width="11" hidden="1" customWidth="1"/>
    <col min="7" max="7" width="9.140625" hidden="1" customWidth="1"/>
    <col min="8" max="8" width="56.28515625" hidden="1" customWidth="1"/>
    <col min="9" max="9" width="8" style="35" customWidth="1"/>
    <col min="10" max="10" width="9.140625" customWidth="1"/>
    <col min="11" max="12" width="7.5703125" customWidth="1"/>
    <col min="13" max="13" width="29.28515625" style="4" customWidth="1"/>
  </cols>
  <sheetData>
    <row r="2" spans="2:11" ht="18.75" x14ac:dyDescent="0.3">
      <c r="B2" s="1" t="str">
        <f>ROUNDDOWN(D10/50,0)*50&amp;" Litre MEMD Stove"</f>
        <v>300 Litre MEMD Stove</v>
      </c>
      <c r="C2" s="64" t="s">
        <v>217</v>
      </c>
      <c r="D2" s="35"/>
    </row>
    <row r="3" spans="2:11" ht="18.75" x14ac:dyDescent="0.3">
      <c r="B3" s="1"/>
      <c r="D3" s="35"/>
    </row>
    <row r="4" spans="2:11" x14ac:dyDescent="0.25">
      <c r="C4" t="s">
        <v>0</v>
      </c>
      <c r="D4" s="36">
        <v>45621</v>
      </c>
      <c r="E4" t="str">
        <f>Dimensions!F2</f>
        <v>Version 1.4</v>
      </c>
    </row>
    <row r="5" spans="2:11" x14ac:dyDescent="0.25">
      <c r="B5" s="69" t="s">
        <v>219</v>
      </c>
    </row>
    <row r="7" spans="2:11" x14ac:dyDescent="0.25">
      <c r="B7" s="29" t="s">
        <v>212</v>
      </c>
      <c r="D7"/>
      <c r="I7" s="35" t="s">
        <v>218</v>
      </c>
    </row>
    <row r="8" spans="2:11" x14ac:dyDescent="0.25">
      <c r="C8" s="6" t="s">
        <v>108</v>
      </c>
      <c r="D8" s="7">
        <v>838</v>
      </c>
      <c r="E8" s="8" t="s">
        <v>1</v>
      </c>
      <c r="I8" s="35" t="s">
        <v>131</v>
      </c>
      <c r="J8" s="71" t="s">
        <v>223</v>
      </c>
    </row>
    <row r="9" spans="2:11" x14ac:dyDescent="0.25">
      <c r="C9" s="9" t="s">
        <v>348</v>
      </c>
      <c r="D9" s="57">
        <f>D8*0.7</f>
        <v>586.59999999999991</v>
      </c>
      <c r="E9" s="11" t="s">
        <v>1</v>
      </c>
      <c r="I9" s="35" t="s">
        <v>132</v>
      </c>
      <c r="J9" s="71" t="s">
        <v>223</v>
      </c>
      <c r="K9" t="s">
        <v>359</v>
      </c>
    </row>
    <row r="10" spans="2:11" x14ac:dyDescent="0.25">
      <c r="C10" s="9" t="s">
        <v>89</v>
      </c>
      <c r="D10" s="10">
        <f>(D8/200)^2*PI()*D9/100</f>
        <v>323.53403733284449</v>
      </c>
      <c r="E10" s="11" t="s">
        <v>3</v>
      </c>
      <c r="I10" s="35" t="s">
        <v>170</v>
      </c>
      <c r="J10" s="71" t="s">
        <v>223</v>
      </c>
      <c r="K10" s="81">
        <f>D10/300-1</f>
        <v>7.8446791109481717E-2</v>
      </c>
    </row>
    <row r="11" spans="2:11" x14ac:dyDescent="0.25">
      <c r="C11" s="9" t="s">
        <v>105</v>
      </c>
      <c r="D11" s="18">
        <v>2</v>
      </c>
      <c r="E11" s="11" t="s">
        <v>1</v>
      </c>
      <c r="I11" s="35" t="s">
        <v>134</v>
      </c>
      <c r="J11" s="71" t="s">
        <v>223</v>
      </c>
    </row>
    <row r="12" spans="2:11" x14ac:dyDescent="0.25">
      <c r="C12" s="9" t="s">
        <v>106</v>
      </c>
      <c r="D12" s="18">
        <v>3</v>
      </c>
      <c r="E12" s="11" t="s">
        <v>1</v>
      </c>
      <c r="I12" s="35" t="s">
        <v>135</v>
      </c>
      <c r="J12" s="71" t="s">
        <v>223</v>
      </c>
    </row>
    <row r="13" spans="2:11" x14ac:dyDescent="0.25">
      <c r="C13" s="9" t="s">
        <v>224</v>
      </c>
      <c r="D13" s="18">
        <v>40</v>
      </c>
      <c r="E13" s="11" t="s">
        <v>1</v>
      </c>
      <c r="I13" s="35" t="s">
        <v>136</v>
      </c>
      <c r="J13" s="71" t="s">
        <v>223</v>
      </c>
    </row>
    <row r="14" spans="2:11" x14ac:dyDescent="0.25">
      <c r="C14" s="9" t="s">
        <v>107</v>
      </c>
      <c r="D14" s="10">
        <f>D8+2*D11</f>
        <v>842</v>
      </c>
      <c r="E14" s="11" t="s">
        <v>1</v>
      </c>
      <c r="J14" s="71"/>
    </row>
    <row r="15" spans="2:11" x14ac:dyDescent="0.25">
      <c r="C15" s="9" t="s">
        <v>229</v>
      </c>
      <c r="D15" s="10">
        <f>(D9+D12)*0.25</f>
        <v>147.39999999999998</v>
      </c>
      <c r="E15" s="11" t="s">
        <v>1</v>
      </c>
      <c r="I15" s="35" t="s">
        <v>151</v>
      </c>
      <c r="J15" s="71" t="s">
        <v>223</v>
      </c>
      <c r="K15" t="s">
        <v>236</v>
      </c>
    </row>
    <row r="16" spans="2:11" x14ac:dyDescent="0.25">
      <c r="C16" s="9" t="s">
        <v>234</v>
      </c>
      <c r="D16" s="10">
        <f>D8+2*D11</f>
        <v>842</v>
      </c>
      <c r="E16" s="11" t="s">
        <v>1</v>
      </c>
      <c r="I16" s="35" t="s">
        <v>133</v>
      </c>
      <c r="J16" s="71" t="s">
        <v>223</v>
      </c>
    </row>
    <row r="17" spans="2:10" x14ac:dyDescent="0.25">
      <c r="C17" s="9" t="s">
        <v>222</v>
      </c>
      <c r="D17" s="10">
        <f>D13*2+D16</f>
        <v>922</v>
      </c>
      <c r="E17" s="11" t="s">
        <v>1</v>
      </c>
      <c r="I17" s="35" t="s">
        <v>148</v>
      </c>
      <c r="J17" s="71" t="s">
        <v>223</v>
      </c>
    </row>
    <row r="18" spans="2:10" x14ac:dyDescent="0.25">
      <c r="C18" s="9" t="s">
        <v>183</v>
      </c>
      <c r="D18" s="10">
        <f>D9+D12</f>
        <v>589.59999999999991</v>
      </c>
      <c r="E18" s="11" t="s">
        <v>1</v>
      </c>
      <c r="I18" s="35" t="s">
        <v>184</v>
      </c>
      <c r="J18" s="71" t="s">
        <v>223</v>
      </c>
    </row>
    <row r="19" spans="2:10" x14ac:dyDescent="0.25">
      <c r="C19" s="60"/>
      <c r="D19" s="16"/>
      <c r="E19" s="60"/>
    </row>
    <row r="20" spans="2:10" x14ac:dyDescent="0.25">
      <c r="B20" s="29" t="s">
        <v>231</v>
      </c>
      <c r="D20" s="10"/>
    </row>
    <row r="21" spans="2:10" x14ac:dyDescent="0.25">
      <c r="C21" s="6" t="s">
        <v>230</v>
      </c>
      <c r="D21" s="40">
        <f>D16+2*D25</f>
        <v>857.08399999999995</v>
      </c>
      <c r="E21" s="8" t="s">
        <v>1</v>
      </c>
      <c r="I21" s="35" t="s">
        <v>147</v>
      </c>
      <c r="J21" s="71" t="s">
        <v>223</v>
      </c>
    </row>
    <row r="22" spans="2:10" x14ac:dyDescent="0.25">
      <c r="C22" s="9" t="s">
        <v>225</v>
      </c>
      <c r="D22" s="12">
        <v>5</v>
      </c>
      <c r="E22" s="11" t="s">
        <v>1</v>
      </c>
      <c r="I22" s="35" t="s">
        <v>139</v>
      </c>
      <c r="J22" s="71" t="s">
        <v>223</v>
      </c>
    </row>
    <row r="23" spans="2:10" x14ac:dyDescent="0.25">
      <c r="C23" s="9" t="s">
        <v>226</v>
      </c>
      <c r="D23" s="63">
        <f>D21+2*D22</f>
        <v>867.08399999999995</v>
      </c>
      <c r="E23" s="11" t="s">
        <v>1</v>
      </c>
      <c r="I23" s="35" t="s">
        <v>211</v>
      </c>
      <c r="J23" s="71" t="s">
        <v>223</v>
      </c>
    </row>
    <row r="24" spans="2:10" x14ac:dyDescent="0.25">
      <c r="C24" s="9" t="s">
        <v>227</v>
      </c>
      <c r="D24" s="12">
        <v>50</v>
      </c>
      <c r="E24" s="11" t="s">
        <v>1</v>
      </c>
      <c r="I24" s="35" t="s">
        <v>152</v>
      </c>
      <c r="J24" s="71" t="s">
        <v>223</v>
      </c>
    </row>
    <row r="25" spans="2:10" x14ac:dyDescent="0.25">
      <c r="C25" s="9" t="s">
        <v>228</v>
      </c>
      <c r="D25" s="74">
        <f>D8*0.009</f>
        <v>7.5419999999999998</v>
      </c>
      <c r="E25" s="11" t="s">
        <v>1</v>
      </c>
      <c r="I25" s="35" t="s">
        <v>137</v>
      </c>
      <c r="J25" s="71" t="s">
        <v>223</v>
      </c>
    </row>
    <row r="26" spans="2:10" x14ac:dyDescent="0.25">
      <c r="C26" s="9" t="s">
        <v>232</v>
      </c>
      <c r="D26" s="74">
        <f>(D21+2*D22/3)*PI()</f>
        <v>2703.0807734213204</v>
      </c>
      <c r="E26" s="11" t="s">
        <v>1</v>
      </c>
      <c r="J26" s="71" t="s">
        <v>223</v>
      </c>
    </row>
    <row r="27" spans="2:10" x14ac:dyDescent="0.25">
      <c r="C27" s="9" t="s">
        <v>350</v>
      </c>
      <c r="D27" s="74">
        <f>D23*0.3</f>
        <v>260.12519999999995</v>
      </c>
      <c r="E27" s="11" t="s">
        <v>1</v>
      </c>
      <c r="J27" s="71"/>
    </row>
    <row r="28" spans="2:10" x14ac:dyDescent="0.25">
      <c r="C28" s="13" t="s">
        <v>335</v>
      </c>
      <c r="D28" s="77">
        <v>6</v>
      </c>
      <c r="E28" s="15" t="s">
        <v>1</v>
      </c>
      <c r="J28" s="71"/>
    </row>
    <row r="29" spans="2:10" x14ac:dyDescent="0.25">
      <c r="D29" s="21"/>
    </row>
    <row r="30" spans="2:10" x14ac:dyDescent="0.25">
      <c r="B30" s="29" t="s">
        <v>258</v>
      </c>
      <c r="D30"/>
    </row>
    <row r="31" spans="2:10" x14ac:dyDescent="0.25">
      <c r="B31" s="29"/>
      <c r="C31" s="6" t="s">
        <v>257</v>
      </c>
      <c r="D31" s="7">
        <f>25.4*4.25</f>
        <v>107.94999999999999</v>
      </c>
      <c r="E31" s="8" t="s">
        <v>1</v>
      </c>
      <c r="I31" s="35" t="s">
        <v>214</v>
      </c>
      <c r="J31" s="71" t="s">
        <v>223</v>
      </c>
    </row>
    <row r="32" spans="2:10" x14ac:dyDescent="0.25">
      <c r="B32" s="29"/>
      <c r="C32" s="9" t="s">
        <v>329</v>
      </c>
      <c r="D32" s="12">
        <f>25.4*3</f>
        <v>76.199999999999989</v>
      </c>
      <c r="E32" s="11" t="s">
        <v>1</v>
      </c>
      <c r="I32" s="35" t="s">
        <v>215</v>
      </c>
      <c r="J32" s="71" t="s">
        <v>223</v>
      </c>
    </row>
    <row r="33" spans="2:10" x14ac:dyDescent="0.25">
      <c r="B33" s="29"/>
      <c r="C33" s="9" t="s">
        <v>330</v>
      </c>
      <c r="D33" s="12">
        <f>25.4*9</f>
        <v>228.6</v>
      </c>
      <c r="E33" s="11" t="s">
        <v>1</v>
      </c>
      <c r="J33" s="71" t="s">
        <v>223</v>
      </c>
    </row>
    <row r="34" spans="2:10" x14ac:dyDescent="0.25">
      <c r="B34" s="29"/>
      <c r="C34" s="9" t="s">
        <v>259</v>
      </c>
      <c r="D34" s="12">
        <v>91.3</v>
      </c>
      <c r="E34" s="11" t="s">
        <v>1</v>
      </c>
      <c r="J34" s="71"/>
    </row>
    <row r="35" spans="2:10" x14ac:dyDescent="0.25">
      <c r="B35" s="29"/>
      <c r="C35" s="9" t="s">
        <v>260</v>
      </c>
      <c r="D35" s="12">
        <v>76.2</v>
      </c>
      <c r="E35" s="11" t="s">
        <v>1</v>
      </c>
      <c r="J35" s="71"/>
    </row>
    <row r="36" spans="2:10" x14ac:dyDescent="0.25">
      <c r="B36" s="29"/>
      <c r="C36" s="9" t="s">
        <v>261</v>
      </c>
      <c r="D36" s="12">
        <v>250.1</v>
      </c>
      <c r="E36" s="11" t="s">
        <v>1</v>
      </c>
      <c r="J36" s="71"/>
    </row>
    <row r="37" spans="2:10" x14ac:dyDescent="0.25">
      <c r="B37" s="29"/>
      <c r="C37" s="9"/>
      <c r="D37" s="12"/>
      <c r="E37" s="11"/>
      <c r="J37" s="71"/>
    </row>
    <row r="38" spans="2:10" x14ac:dyDescent="0.25">
      <c r="B38" s="29"/>
      <c r="C38" s="9" t="s">
        <v>267</v>
      </c>
      <c r="D38" s="12">
        <v>133</v>
      </c>
      <c r="E38" s="11" t="s">
        <v>1</v>
      </c>
      <c r="J38" s="71"/>
    </row>
    <row r="39" spans="2:10" x14ac:dyDescent="0.25">
      <c r="B39" s="29"/>
      <c r="C39" s="9" t="s">
        <v>268</v>
      </c>
      <c r="D39" s="12">
        <v>85</v>
      </c>
      <c r="E39" s="11" t="s">
        <v>1</v>
      </c>
      <c r="J39" s="71"/>
    </row>
    <row r="40" spans="2:10" x14ac:dyDescent="0.25">
      <c r="B40" s="29"/>
      <c r="C40" s="9" t="s">
        <v>269</v>
      </c>
      <c r="D40" s="12">
        <v>350</v>
      </c>
      <c r="E40" s="11" t="s">
        <v>1</v>
      </c>
      <c r="J40" s="71"/>
    </row>
    <row r="41" spans="2:10" x14ac:dyDescent="0.25">
      <c r="B41" s="29"/>
      <c r="C41" s="9" t="s">
        <v>270</v>
      </c>
      <c r="D41" s="12">
        <f>4.25*25.4</f>
        <v>107.94999999999999</v>
      </c>
      <c r="E41" s="11" t="s">
        <v>1</v>
      </c>
      <c r="J41" s="71"/>
    </row>
    <row r="42" spans="2:10" x14ac:dyDescent="0.25">
      <c r="B42" s="29"/>
      <c r="C42" s="9" t="s">
        <v>271</v>
      </c>
      <c r="D42" s="12">
        <f>3*25.4</f>
        <v>76.199999999999989</v>
      </c>
      <c r="E42" s="11" t="s">
        <v>1</v>
      </c>
      <c r="J42" s="71"/>
    </row>
    <row r="43" spans="2:10" x14ac:dyDescent="0.25">
      <c r="B43" s="29"/>
      <c r="C43" s="9" t="s">
        <v>272</v>
      </c>
      <c r="D43" s="12">
        <f>9*25.4</f>
        <v>228.6</v>
      </c>
      <c r="E43" s="11" t="s">
        <v>1</v>
      </c>
      <c r="J43" s="71"/>
    </row>
    <row r="44" spans="2:10" x14ac:dyDescent="0.25">
      <c r="B44" s="29"/>
      <c r="C44" s="9" t="s">
        <v>262</v>
      </c>
      <c r="D44" s="12">
        <f>4.25*25.4</f>
        <v>107.94999999999999</v>
      </c>
      <c r="E44" s="11" t="s">
        <v>1</v>
      </c>
      <c r="J44" s="71"/>
    </row>
    <row r="45" spans="2:10" x14ac:dyDescent="0.25">
      <c r="B45" s="29"/>
      <c r="C45" s="9" t="s">
        <v>264</v>
      </c>
      <c r="D45" s="12">
        <f>3*25.4</f>
        <v>76.199999999999989</v>
      </c>
      <c r="E45" s="11" t="s">
        <v>1</v>
      </c>
      <c r="J45" s="71"/>
    </row>
    <row r="46" spans="2:10" x14ac:dyDescent="0.25">
      <c r="B46" s="29"/>
      <c r="C46" s="9" t="s">
        <v>263</v>
      </c>
      <c r="D46" s="12">
        <f>9*25.4</f>
        <v>228.6</v>
      </c>
      <c r="E46" s="11" t="s">
        <v>1</v>
      </c>
      <c r="J46" s="71"/>
    </row>
    <row r="47" spans="2:10" x14ac:dyDescent="0.25">
      <c r="B47" s="29"/>
      <c r="C47" s="9" t="s">
        <v>373</v>
      </c>
      <c r="D47" s="12">
        <v>3</v>
      </c>
      <c r="E47" s="11" t="s">
        <v>1</v>
      </c>
      <c r="J47" s="71"/>
    </row>
    <row r="48" spans="2:10" x14ac:dyDescent="0.25">
      <c r="B48" s="29"/>
      <c r="C48" s="13" t="s">
        <v>282</v>
      </c>
      <c r="D48" s="77">
        <v>15</v>
      </c>
      <c r="E48" s="15" t="s">
        <v>283</v>
      </c>
      <c r="J48" s="71"/>
    </row>
    <row r="49" spans="2:15" x14ac:dyDescent="0.25">
      <c r="B49" s="29"/>
      <c r="D49"/>
      <c r="J49" s="71"/>
    </row>
    <row r="50" spans="2:15" x14ac:dyDescent="0.25">
      <c r="B50" s="29" t="s">
        <v>367</v>
      </c>
      <c r="D50"/>
      <c r="J50" s="71"/>
    </row>
    <row r="51" spans="2:15" x14ac:dyDescent="0.25">
      <c r="C51" s="6" t="s">
        <v>372</v>
      </c>
      <c r="D51" s="45">
        <f>D98+D79+D81+D57+D39</f>
        <v>1125.4578270277675</v>
      </c>
      <c r="E51" s="8" t="s">
        <v>1</v>
      </c>
      <c r="I51" s="35" t="s">
        <v>153</v>
      </c>
    </row>
    <row r="52" spans="2:15" x14ac:dyDescent="0.25">
      <c r="C52" s="9" t="s">
        <v>125</v>
      </c>
      <c r="D52" s="43">
        <f>D85+(D31*2)+(D34+5)*2+D48*2</f>
        <v>1360.5</v>
      </c>
      <c r="E52" s="11" t="s">
        <v>1</v>
      </c>
      <c r="I52" s="35" t="s">
        <v>140</v>
      </c>
      <c r="J52" s="71" t="s">
        <v>223</v>
      </c>
    </row>
    <row r="53" spans="2:15" x14ac:dyDescent="0.25">
      <c r="C53" s="9" t="s">
        <v>126</v>
      </c>
      <c r="D53" s="43">
        <f>D85+(D31*2)+(D34+5)*2+D48*2</f>
        <v>1360.5</v>
      </c>
      <c r="E53" s="11" t="s">
        <v>1</v>
      </c>
      <c r="I53" s="35" t="s">
        <v>160</v>
      </c>
      <c r="J53" s="71" t="s">
        <v>223</v>
      </c>
    </row>
    <row r="54" spans="2:15" x14ac:dyDescent="0.25">
      <c r="C54" s="13" t="s">
        <v>265</v>
      </c>
      <c r="D54" s="41">
        <f>D57</f>
        <v>108.85275792905911</v>
      </c>
      <c r="E54" s="15" t="s">
        <v>1</v>
      </c>
      <c r="I54" s="35" t="s">
        <v>237</v>
      </c>
    </row>
    <row r="55" spans="2:15" x14ac:dyDescent="0.25">
      <c r="D55" s="39"/>
    </row>
    <row r="56" spans="2:15" x14ac:dyDescent="0.25">
      <c r="B56" s="29" t="s">
        <v>255</v>
      </c>
      <c r="H56" s="26"/>
    </row>
    <row r="57" spans="2:15" x14ac:dyDescent="0.25">
      <c r="C57" s="6" t="s">
        <v>256</v>
      </c>
      <c r="D57" s="45">
        <f>IF(D77/2.6 &lt;D42+2*D48, D42+2*D48,D77/2.6)</f>
        <v>108.85275792905911</v>
      </c>
      <c r="E57" s="8" t="s">
        <v>1</v>
      </c>
      <c r="H57" s="26"/>
      <c r="I57" s="35" t="s">
        <v>180</v>
      </c>
      <c r="J57" s="71" t="s">
        <v>223</v>
      </c>
    </row>
    <row r="58" spans="2:15" x14ac:dyDescent="0.25">
      <c r="C58" s="9" t="s">
        <v>238</v>
      </c>
      <c r="D58" s="39">
        <f>D80</f>
        <v>283.01717061555371</v>
      </c>
      <c r="E58" s="11" t="s">
        <v>1</v>
      </c>
      <c r="H58" s="26"/>
      <c r="I58" s="35" t="s">
        <v>171</v>
      </c>
      <c r="J58" s="71" t="s">
        <v>223</v>
      </c>
    </row>
    <row r="59" spans="2:15" x14ac:dyDescent="0.25">
      <c r="C59" s="9" t="s">
        <v>286</v>
      </c>
      <c r="D59" s="10">
        <f>(D53-D80)/2+D80</f>
        <v>821.7585853077768</v>
      </c>
      <c r="E59" s="11" t="s">
        <v>1</v>
      </c>
      <c r="H59" s="26"/>
      <c r="I59" s="73" t="s">
        <v>149</v>
      </c>
      <c r="J59" s="78" t="s">
        <v>287</v>
      </c>
      <c r="K59" s="72" t="s">
        <v>288</v>
      </c>
    </row>
    <row r="60" spans="2:15" x14ac:dyDescent="0.25">
      <c r="C60" s="9" t="s">
        <v>337</v>
      </c>
      <c r="D60" s="12">
        <v>15</v>
      </c>
      <c r="E60" s="11" t="s">
        <v>1</v>
      </c>
      <c r="H60" s="26"/>
      <c r="I60" s="35" t="s">
        <v>169</v>
      </c>
      <c r="J60" s="71"/>
    </row>
    <row r="61" spans="2:15" x14ac:dyDescent="0.25">
      <c r="C61" s="13" t="s">
        <v>338</v>
      </c>
      <c r="D61" s="14">
        <f>D40+24</f>
        <v>374</v>
      </c>
      <c r="E61" s="15" t="s">
        <v>1</v>
      </c>
      <c r="H61" s="26"/>
      <c r="I61" s="35" t="s">
        <v>172</v>
      </c>
      <c r="J61" s="71" t="s">
        <v>223</v>
      </c>
    </row>
    <row r="62" spans="2:15" x14ac:dyDescent="0.25">
      <c r="D62" s="10"/>
      <c r="H62" s="26"/>
    </row>
    <row r="63" spans="2:15" x14ac:dyDescent="0.25">
      <c r="B63" s="29" t="s">
        <v>315</v>
      </c>
      <c r="D63" s="10"/>
      <c r="H63" s="26"/>
      <c r="J63" s="6" t="s">
        <v>361</v>
      </c>
      <c r="K63" s="60" t="s">
        <v>363</v>
      </c>
      <c r="L63" s="60" t="s">
        <v>362</v>
      </c>
      <c r="M63" s="16" t="s">
        <v>364</v>
      </c>
      <c r="N63" s="60"/>
      <c r="O63" s="8"/>
    </row>
    <row r="64" spans="2:15" x14ac:dyDescent="0.25">
      <c r="B64" s="29"/>
      <c r="C64" s="6" t="s">
        <v>336</v>
      </c>
      <c r="D64" s="16">
        <f>ROUNDDOWN((D67-D31-D48)/D38,1)</f>
        <v>3.1</v>
      </c>
      <c r="E64" s="8"/>
      <c r="H64" s="26"/>
      <c r="J64" s="32">
        <f>D64*D38</f>
        <v>412.3</v>
      </c>
      <c r="K64" s="39">
        <f>D67</f>
        <v>538.7414146922232</v>
      </c>
      <c r="L64" s="39">
        <f>-(J64-K64)-D31-D48</f>
        <v>3.4914146922232021</v>
      </c>
      <c r="M64" s="10" t="str">
        <f>IF(L64&gt;0,"Spare","Interference")</f>
        <v>Spare</v>
      </c>
      <c r="O64" s="11"/>
    </row>
    <row r="65" spans="2:15" x14ac:dyDescent="0.25">
      <c r="B65" s="29"/>
      <c r="C65" s="9" t="s">
        <v>358</v>
      </c>
      <c r="D65" s="10">
        <f>ROUNDUP(D194/(D38+D60),0)</f>
        <v>6</v>
      </c>
      <c r="E65" s="11"/>
      <c r="H65" s="26"/>
      <c r="J65" s="34">
        <f>D65*(D38+D60)-D60</f>
        <v>873</v>
      </c>
      <c r="K65" s="41">
        <f>D66</f>
        <v>821.7585853077768</v>
      </c>
      <c r="L65" s="41">
        <f>J65-K65</f>
        <v>51.241414692223202</v>
      </c>
      <c r="M65" s="61" t="s">
        <v>360</v>
      </c>
      <c r="N65" s="61"/>
      <c r="O65" s="15"/>
    </row>
    <row r="66" spans="2:15" x14ac:dyDescent="0.25">
      <c r="C66" s="9" t="s">
        <v>316</v>
      </c>
      <c r="D66" s="10">
        <f>(D53-D80)/2+D80</f>
        <v>821.7585853077768</v>
      </c>
      <c r="E66" s="11" t="s">
        <v>1</v>
      </c>
      <c r="H66" s="26"/>
      <c r="J66" s="71"/>
    </row>
    <row r="67" spans="2:15" x14ac:dyDescent="0.25">
      <c r="C67" s="9" t="s">
        <v>317</v>
      </c>
      <c r="D67" s="10">
        <f>D194-D80</f>
        <v>538.7414146922232</v>
      </c>
      <c r="E67" s="11" t="s">
        <v>1</v>
      </c>
      <c r="H67" s="26"/>
      <c r="J67" s="71"/>
      <c r="L67" t="s">
        <v>1</v>
      </c>
    </row>
    <row r="68" spans="2:15" x14ac:dyDescent="0.25">
      <c r="C68" s="9" t="s">
        <v>109</v>
      </c>
      <c r="D68" s="10">
        <f>D77</f>
        <v>283.01717061555371</v>
      </c>
      <c r="E68" s="11" t="s">
        <v>1</v>
      </c>
      <c r="H68" s="26"/>
      <c r="I68" s="35" t="s">
        <v>145</v>
      </c>
      <c r="J68" s="71" t="s">
        <v>223</v>
      </c>
    </row>
    <row r="69" spans="2:15" x14ac:dyDescent="0.25">
      <c r="C69" s="13" t="s">
        <v>129</v>
      </c>
      <c r="D69" s="14">
        <f>D81</f>
        <v>189.621504312421</v>
      </c>
      <c r="E69" s="15" t="s">
        <v>1</v>
      </c>
      <c r="H69" s="26"/>
      <c r="I69" s="35" t="s">
        <v>179</v>
      </c>
      <c r="J69" s="71" t="s">
        <v>223</v>
      </c>
    </row>
    <row r="70" spans="2:15" x14ac:dyDescent="0.25">
      <c r="D70" s="39"/>
    </row>
    <row r="71" spans="2:15" x14ac:dyDescent="0.25">
      <c r="B71" s="53" t="s">
        <v>177</v>
      </c>
    </row>
    <row r="72" spans="2:15" x14ac:dyDescent="0.25">
      <c r="C72" s="6" t="s">
        <v>266</v>
      </c>
      <c r="D72" s="56">
        <f>D96+D79+D81</f>
        <v>512.26107881415214</v>
      </c>
      <c r="E72" s="8" t="s">
        <v>1</v>
      </c>
      <c r="I72" s="35" t="s">
        <v>156</v>
      </c>
    </row>
    <row r="73" spans="2:15" x14ac:dyDescent="0.25">
      <c r="C73" s="13" t="s">
        <v>178</v>
      </c>
      <c r="D73" s="42">
        <f>D96+D79+D81+D57</f>
        <v>621.11383674321121</v>
      </c>
      <c r="E73" s="15" t="s">
        <v>1</v>
      </c>
      <c r="I73" s="35" t="s">
        <v>157</v>
      </c>
      <c r="J73" t="s">
        <v>280</v>
      </c>
    </row>
    <row r="74" spans="2:15" x14ac:dyDescent="0.25">
      <c r="D74" s="39"/>
    </row>
    <row r="75" spans="2:15" x14ac:dyDescent="0.25">
      <c r="B75" s="29" t="s">
        <v>309</v>
      </c>
      <c r="D75" s="10"/>
      <c r="H75" s="26"/>
    </row>
    <row r="76" spans="2:15" ht="17.25" x14ac:dyDescent="0.25">
      <c r="C76" s="6" t="s">
        <v>123</v>
      </c>
      <c r="D76" s="7">
        <v>65</v>
      </c>
      <c r="E76" s="8" t="s">
        <v>85</v>
      </c>
      <c r="H76" s="26"/>
      <c r="J76" s="71" t="s">
        <v>223</v>
      </c>
      <c r="K76" t="s">
        <v>239</v>
      </c>
    </row>
    <row r="77" spans="2:15" x14ac:dyDescent="0.25">
      <c r="C77" s="9" t="s">
        <v>110</v>
      </c>
      <c r="D77" s="10">
        <f>SQRT(D137/D76*82.5)</f>
        <v>283.01717061555371</v>
      </c>
      <c r="E77" s="11" t="s">
        <v>1</v>
      </c>
      <c r="H77" s="26"/>
      <c r="I77" s="35" t="s">
        <v>144</v>
      </c>
      <c r="J77" s="71" t="s">
        <v>223</v>
      </c>
    </row>
    <row r="78" spans="2:15" x14ac:dyDescent="0.25">
      <c r="C78" s="9" t="s">
        <v>369</v>
      </c>
      <c r="D78" s="10">
        <f>D77+2*D42+2*D48</f>
        <v>465.41717061555369</v>
      </c>
      <c r="E78" s="11" t="s">
        <v>1</v>
      </c>
      <c r="H78" s="26"/>
      <c r="J78" s="71"/>
    </row>
    <row r="79" spans="2:15" x14ac:dyDescent="0.25">
      <c r="C79" s="9" t="s">
        <v>252</v>
      </c>
      <c r="D79" s="10">
        <f>D77*0.79</f>
        <v>223.58356478628744</v>
      </c>
      <c r="E79" s="11" t="s">
        <v>1</v>
      </c>
      <c r="H79" s="26"/>
      <c r="I79" s="35" t="s">
        <v>164</v>
      </c>
      <c r="J79" s="71" t="s">
        <v>223</v>
      </c>
      <c r="K79" s="76"/>
    </row>
    <row r="80" spans="2:15" x14ac:dyDescent="0.25">
      <c r="C80" s="9" t="s">
        <v>253</v>
      </c>
      <c r="D80" s="10">
        <f>D77</f>
        <v>283.01717061555371</v>
      </c>
      <c r="E80" s="11" t="s">
        <v>1</v>
      </c>
      <c r="H80" s="26"/>
      <c r="I80" s="35" t="s">
        <v>167</v>
      </c>
      <c r="J80" s="71" t="s">
        <v>223</v>
      </c>
      <c r="K80" s="75"/>
    </row>
    <row r="81" spans="2:11" x14ac:dyDescent="0.25">
      <c r="C81" s="13" t="s">
        <v>254</v>
      </c>
      <c r="D81" s="14">
        <f>D77*0.67</f>
        <v>189.621504312421</v>
      </c>
      <c r="E81" s="15" t="s">
        <v>1</v>
      </c>
      <c r="H81" s="26"/>
      <c r="I81" s="35" t="s">
        <v>176</v>
      </c>
      <c r="J81" s="71" t="s">
        <v>223</v>
      </c>
      <c r="K81" s="76"/>
    </row>
    <row r="82" spans="2:11" x14ac:dyDescent="0.25">
      <c r="B82" t="s">
        <v>104</v>
      </c>
    </row>
    <row r="83" spans="2:11" x14ac:dyDescent="0.25">
      <c r="B83" s="29" t="s">
        <v>119</v>
      </c>
      <c r="D83"/>
    </row>
    <row r="84" spans="2:11" x14ac:dyDescent="0.25">
      <c r="C84" s="6" t="s">
        <v>233</v>
      </c>
      <c r="D84" s="7">
        <v>40</v>
      </c>
      <c r="E84" s="8" t="s">
        <v>1</v>
      </c>
      <c r="I84" s="35" t="s">
        <v>138</v>
      </c>
      <c r="J84" s="71" t="s">
        <v>223</v>
      </c>
    </row>
    <row r="85" spans="2:11" x14ac:dyDescent="0.25">
      <c r="C85" s="9" t="s">
        <v>235</v>
      </c>
      <c r="D85" s="39">
        <f>D84*2+D16</f>
        <v>922</v>
      </c>
      <c r="E85" s="11" t="s">
        <v>1</v>
      </c>
      <c r="I85" s="35" t="s">
        <v>165</v>
      </c>
      <c r="J85" s="71" t="s">
        <v>223</v>
      </c>
    </row>
    <row r="86" spans="2:11" x14ac:dyDescent="0.25">
      <c r="C86" s="9" t="s">
        <v>120</v>
      </c>
      <c r="D86" s="39">
        <f>(D9+D12)-D15+D42-D28</f>
        <v>512.39999999999986</v>
      </c>
      <c r="E86" s="11" t="s">
        <v>1</v>
      </c>
      <c r="I86" s="35" t="s">
        <v>154</v>
      </c>
      <c r="J86" s="71" t="s">
        <v>223</v>
      </c>
      <c r="K86" s="76"/>
    </row>
    <row r="87" spans="2:11" x14ac:dyDescent="0.25">
      <c r="C87" s="9" t="s">
        <v>174</v>
      </c>
      <c r="D87" s="43">
        <f>D52</f>
        <v>1360.5</v>
      </c>
      <c r="E87" s="11" t="s">
        <v>1</v>
      </c>
      <c r="I87" s="35" t="s">
        <v>141</v>
      </c>
      <c r="J87" s="71" t="s">
        <v>223</v>
      </c>
    </row>
    <row r="88" spans="2:11" x14ac:dyDescent="0.25">
      <c r="C88" s="9" t="s">
        <v>173</v>
      </c>
      <c r="D88" s="10">
        <f>D87</f>
        <v>1360.5</v>
      </c>
      <c r="E88" s="11" t="s">
        <v>1</v>
      </c>
      <c r="I88" s="35" t="s">
        <v>161</v>
      </c>
      <c r="J88" s="71" t="s">
        <v>223</v>
      </c>
    </row>
    <row r="89" spans="2:11" x14ac:dyDescent="0.25">
      <c r="C89" s="9" t="s">
        <v>175</v>
      </c>
      <c r="D89" s="43">
        <f>D86</f>
        <v>512.39999999999986</v>
      </c>
      <c r="E89" s="11" t="s">
        <v>1</v>
      </c>
      <c r="I89" s="35" t="s">
        <v>155</v>
      </c>
      <c r="J89" s="71" t="s">
        <v>223</v>
      </c>
    </row>
    <row r="90" spans="2:11" x14ac:dyDescent="0.25">
      <c r="C90" s="13" t="s">
        <v>213</v>
      </c>
      <c r="D90" s="42">
        <f>(D52-D85)/2</f>
        <v>219.25</v>
      </c>
      <c r="E90" s="15" t="s">
        <v>1</v>
      </c>
      <c r="I90" s="35" t="s">
        <v>216</v>
      </c>
      <c r="J90" s="71" t="s">
        <v>223</v>
      </c>
    </row>
    <row r="91" spans="2:11" x14ac:dyDescent="0.25">
      <c r="D91" s="43"/>
    </row>
    <row r="92" spans="2:11" x14ac:dyDescent="0.25">
      <c r="B92" s="29" t="s">
        <v>311</v>
      </c>
      <c r="D92" s="26"/>
    </row>
    <row r="93" spans="2:11" x14ac:dyDescent="0.25">
      <c r="B93" s="29"/>
      <c r="C93" s="6" t="s">
        <v>353</v>
      </c>
      <c r="D93" s="45">
        <f>(D94*2+2*D95)/(D14*PI())*D96</f>
        <v>42.392755010395007</v>
      </c>
      <c r="E93" s="8" t="s">
        <v>1</v>
      </c>
      <c r="I93" s="35" t="s">
        <v>158</v>
      </c>
      <c r="J93" s="71" t="s">
        <v>223</v>
      </c>
    </row>
    <row r="94" spans="2:11" x14ac:dyDescent="0.25">
      <c r="C94" s="9" t="s">
        <v>312</v>
      </c>
      <c r="D94" s="10">
        <f>D77</f>
        <v>283.01717061555371</v>
      </c>
      <c r="E94" s="11" t="s">
        <v>1</v>
      </c>
      <c r="I94" s="73" t="s">
        <v>142</v>
      </c>
    </row>
    <row r="95" spans="2:11" x14ac:dyDescent="0.25">
      <c r="C95" s="9" t="s">
        <v>313</v>
      </c>
      <c r="D95" s="10">
        <f>D80</f>
        <v>283.01717061555371</v>
      </c>
      <c r="E95" s="11" t="s">
        <v>1</v>
      </c>
      <c r="I95" s="73" t="s">
        <v>143</v>
      </c>
    </row>
    <row r="96" spans="2:11" x14ac:dyDescent="0.25">
      <c r="C96" s="9" t="s">
        <v>314</v>
      </c>
      <c r="D96" s="10">
        <f>D94*0.35</f>
        <v>99.056009715443793</v>
      </c>
      <c r="E96" s="11" t="s">
        <v>1</v>
      </c>
      <c r="I96" s="35" t="s">
        <v>159</v>
      </c>
    </row>
    <row r="97" spans="2:11" x14ac:dyDescent="0.25">
      <c r="C97" s="9" t="s">
        <v>354</v>
      </c>
      <c r="D97" s="10">
        <f>D14+2*D84</f>
        <v>922</v>
      </c>
      <c r="E97" s="11" t="s">
        <v>1</v>
      </c>
    </row>
    <row r="98" spans="2:11" x14ac:dyDescent="0.25">
      <c r="C98" s="13" t="s">
        <v>355</v>
      </c>
      <c r="D98" s="14">
        <f>(D9+D12)-D15+D42</f>
        <v>518.39999999999986</v>
      </c>
      <c r="E98" s="15" t="s">
        <v>1</v>
      </c>
    </row>
    <row r="100" spans="2:11" x14ac:dyDescent="0.25">
      <c r="B100" s="29" t="s">
        <v>71</v>
      </c>
      <c r="D100" s="26"/>
    </row>
    <row r="101" spans="2:11" x14ac:dyDescent="0.25">
      <c r="C101" s="6" t="s">
        <v>206</v>
      </c>
      <c r="D101" s="7">
        <v>178</v>
      </c>
      <c r="E101" s="8" t="s">
        <v>1</v>
      </c>
      <c r="F101" s="11"/>
      <c r="I101" s="35" t="s">
        <v>185</v>
      </c>
      <c r="J101" s="71" t="s">
        <v>223</v>
      </c>
    </row>
    <row r="102" spans="2:11" x14ac:dyDescent="0.25">
      <c r="C102" s="9" t="s">
        <v>209</v>
      </c>
      <c r="D102" s="18">
        <v>1.6</v>
      </c>
      <c r="E102" s="11" t="s">
        <v>1</v>
      </c>
      <c r="I102" s="35" t="s">
        <v>210</v>
      </c>
      <c r="J102" s="71" t="s">
        <v>223</v>
      </c>
    </row>
    <row r="103" spans="2:11" x14ac:dyDescent="0.25">
      <c r="C103" s="9" t="s">
        <v>207</v>
      </c>
      <c r="D103" s="39">
        <f>D101-2*D102</f>
        <v>174.8</v>
      </c>
      <c r="E103" s="11" t="s">
        <v>1</v>
      </c>
      <c r="I103" s="35" t="s">
        <v>208</v>
      </c>
      <c r="J103" s="71" t="s">
        <v>223</v>
      </c>
    </row>
    <row r="104" spans="2:11" x14ac:dyDescent="0.25">
      <c r="C104" s="9" t="s">
        <v>351</v>
      </c>
      <c r="D104" s="39">
        <f>1.45*D101</f>
        <v>258.09999999999997</v>
      </c>
      <c r="E104" s="11" t="s">
        <v>1</v>
      </c>
      <c r="J104" s="71"/>
    </row>
    <row r="105" spans="2:11" x14ac:dyDescent="0.25">
      <c r="C105" s="9" t="s">
        <v>352</v>
      </c>
      <c r="D105" s="39">
        <f>1.12*D101</f>
        <v>199.36</v>
      </c>
      <c r="E105" s="11" t="s">
        <v>1</v>
      </c>
      <c r="J105" s="71"/>
    </row>
    <row r="106" spans="2:11" x14ac:dyDescent="0.25">
      <c r="C106" s="13" t="s">
        <v>275</v>
      </c>
      <c r="D106" s="59">
        <f>D186</f>
        <v>2.3415174455682659</v>
      </c>
      <c r="E106" s="15" t="s">
        <v>52</v>
      </c>
      <c r="I106" s="68" t="s">
        <v>128</v>
      </c>
    </row>
    <row r="107" spans="2:11" x14ac:dyDescent="0.25">
      <c r="D107" s="43"/>
    </row>
    <row r="108" spans="2:11" x14ac:dyDescent="0.25">
      <c r="B108" s="29" t="s">
        <v>241</v>
      </c>
      <c r="D108" s="10"/>
      <c r="H108" s="26"/>
    </row>
    <row r="109" spans="2:11" x14ac:dyDescent="0.25">
      <c r="B109" s="28"/>
      <c r="C109" s="6" t="s">
        <v>273</v>
      </c>
      <c r="D109" s="16">
        <f>D40</f>
        <v>350</v>
      </c>
      <c r="E109" s="8" t="s">
        <v>1</v>
      </c>
      <c r="H109" s="26"/>
      <c r="I109" s="35" t="s">
        <v>168</v>
      </c>
      <c r="J109" s="71" t="s">
        <v>223</v>
      </c>
    </row>
    <row r="110" spans="2:11" x14ac:dyDescent="0.25">
      <c r="B110" s="28"/>
      <c r="C110" s="9" t="s">
        <v>240</v>
      </c>
      <c r="D110" s="10">
        <f>D39</f>
        <v>85</v>
      </c>
      <c r="E110" s="11" t="s">
        <v>1</v>
      </c>
      <c r="H110" s="26"/>
      <c r="I110" s="35" t="s">
        <v>146</v>
      </c>
      <c r="J110" s="71" t="s">
        <v>223</v>
      </c>
      <c r="K110" s="76"/>
    </row>
    <row r="111" spans="2:11" ht="17.25" x14ac:dyDescent="0.25">
      <c r="B111" s="28"/>
      <c r="C111" s="9" t="s">
        <v>274</v>
      </c>
      <c r="D111" s="10">
        <f>D113/D112</f>
        <v>4245.257559233306</v>
      </c>
      <c r="E111" s="11" t="s">
        <v>90</v>
      </c>
      <c r="H111" s="26"/>
      <c r="I111" s="35" t="s">
        <v>163</v>
      </c>
      <c r="J111" s="71" t="s">
        <v>223</v>
      </c>
    </row>
    <row r="112" spans="2:11" x14ac:dyDescent="0.25">
      <c r="B112" s="28"/>
      <c r="C112" s="9" t="s">
        <v>297</v>
      </c>
      <c r="D112" s="10">
        <f>D65-1</f>
        <v>5</v>
      </c>
      <c r="E112" s="11"/>
      <c r="H112" s="26"/>
      <c r="I112" s="35" t="s">
        <v>166</v>
      </c>
      <c r="J112" s="71" t="s">
        <v>223</v>
      </c>
    </row>
    <row r="113" spans="2:13" ht="17.25" x14ac:dyDescent="0.25">
      <c r="B113" s="28"/>
      <c r="C113" s="9" t="s">
        <v>298</v>
      </c>
      <c r="D113" s="10">
        <f>D77*D60*D112</f>
        <v>21226.287796166529</v>
      </c>
      <c r="E113" s="11" t="s">
        <v>90</v>
      </c>
      <c r="H113" s="26"/>
      <c r="I113" s="35" t="s">
        <v>162</v>
      </c>
      <c r="J113" s="71" t="s">
        <v>223</v>
      </c>
    </row>
    <row r="114" spans="2:13" x14ac:dyDescent="0.25">
      <c r="B114" s="28"/>
      <c r="C114" s="13" t="s">
        <v>124</v>
      </c>
      <c r="D114" s="14">
        <f>SQRT(D111/PI())*2</f>
        <v>73.520267967423251</v>
      </c>
      <c r="E114" s="15" t="s">
        <v>1</v>
      </c>
      <c r="H114" s="26"/>
      <c r="I114" s="35" t="s">
        <v>150</v>
      </c>
      <c r="J114" s="71" t="s">
        <v>223</v>
      </c>
    </row>
    <row r="115" spans="2:13" x14ac:dyDescent="0.25">
      <c r="D115"/>
    </row>
    <row r="116" spans="2:13" x14ac:dyDescent="0.25">
      <c r="B116" s="29" t="s">
        <v>115</v>
      </c>
    </row>
    <row r="117" spans="2:13" ht="17.25" x14ac:dyDescent="0.25">
      <c r="C117" s="6" t="s">
        <v>247</v>
      </c>
      <c r="D117" s="16">
        <f>(D16/20)^2*PI()</f>
        <v>5568.1902351490853</v>
      </c>
      <c r="E117" s="8" t="s">
        <v>2</v>
      </c>
      <c r="G117" t="s">
        <v>248</v>
      </c>
      <c r="J117" s="71" t="s">
        <v>223</v>
      </c>
    </row>
    <row r="118" spans="2:13" x14ac:dyDescent="0.25">
      <c r="C118" s="9" t="s">
        <v>5</v>
      </c>
      <c r="D118" s="10">
        <f>D16*PI()</f>
        <v>2645.2210143226057</v>
      </c>
      <c r="E118" s="11" t="s">
        <v>1</v>
      </c>
      <c r="G118" t="s">
        <v>91</v>
      </c>
      <c r="J118" s="71" t="s">
        <v>223</v>
      </c>
      <c r="M118" s="3"/>
    </row>
    <row r="119" spans="2:13" x14ac:dyDescent="0.25">
      <c r="C119" s="9" t="s">
        <v>276</v>
      </c>
      <c r="D119" s="12">
        <v>60</v>
      </c>
      <c r="E119" s="11" t="s">
        <v>4</v>
      </c>
      <c r="G119" t="s">
        <v>251</v>
      </c>
      <c r="J119" s="71" t="s">
        <v>223</v>
      </c>
    </row>
    <row r="120" spans="2:13" ht="17.25" x14ac:dyDescent="0.25">
      <c r="C120" s="9" t="s">
        <v>249</v>
      </c>
      <c r="D120" s="10">
        <f>D118*D119/1000*((D18-D15-D24)/10)+D117</f>
        <v>11792.92432605304</v>
      </c>
      <c r="E120" s="11" t="s">
        <v>2</v>
      </c>
      <c r="G120" t="str">
        <f>"Bottom area plus side heated at the nominal rate over "&amp;D119&amp;"% of the available area."</f>
        <v>Bottom area plus side heated at the nominal rate over 60% of the available area.</v>
      </c>
      <c r="J120" s="71" t="s">
        <v>223</v>
      </c>
      <c r="L120" s="29"/>
    </row>
    <row r="121" spans="2:13" ht="17.25" x14ac:dyDescent="0.25">
      <c r="C121" s="9" t="s">
        <v>6</v>
      </c>
      <c r="D121" s="18">
        <v>2</v>
      </c>
      <c r="E121" s="11" t="s">
        <v>277</v>
      </c>
      <c r="G121" t="s">
        <v>250</v>
      </c>
      <c r="J121" s="71" t="s">
        <v>223</v>
      </c>
    </row>
    <row r="122" spans="2:13" x14ac:dyDescent="0.25">
      <c r="C122" s="9" t="s">
        <v>7</v>
      </c>
      <c r="D122" s="10">
        <f>D121*D120</f>
        <v>23585.84865210608</v>
      </c>
      <c r="E122" s="11" t="s">
        <v>8</v>
      </c>
      <c r="G122" t="s">
        <v>92</v>
      </c>
      <c r="J122" s="71" t="s">
        <v>223</v>
      </c>
    </row>
    <row r="123" spans="2:13" x14ac:dyDescent="0.25">
      <c r="C123" s="9" t="s">
        <v>9</v>
      </c>
      <c r="D123" s="12">
        <v>90</v>
      </c>
      <c r="E123" s="11" t="s">
        <v>4</v>
      </c>
      <c r="J123" s="71" t="s">
        <v>223</v>
      </c>
    </row>
    <row r="124" spans="2:13" x14ac:dyDescent="0.25">
      <c r="C124" s="9" t="s">
        <v>10</v>
      </c>
      <c r="D124" s="10">
        <f>D123/100*D10</f>
        <v>291.18063359956005</v>
      </c>
      <c r="E124" s="11" t="s">
        <v>3</v>
      </c>
      <c r="J124" s="71" t="s">
        <v>223</v>
      </c>
    </row>
    <row r="125" spans="2:13" x14ac:dyDescent="0.25">
      <c r="C125" s="9" t="s">
        <v>11</v>
      </c>
      <c r="D125" s="12">
        <v>25</v>
      </c>
      <c r="E125" s="30" t="s">
        <v>13</v>
      </c>
      <c r="J125" s="71" t="s">
        <v>223</v>
      </c>
    </row>
    <row r="126" spans="2:13" x14ac:dyDescent="0.25">
      <c r="C126" s="9" t="s">
        <v>12</v>
      </c>
      <c r="D126" s="12">
        <v>95</v>
      </c>
      <c r="E126" s="30" t="s">
        <v>13</v>
      </c>
      <c r="G126" t="s">
        <v>93</v>
      </c>
      <c r="J126" s="71" t="s">
        <v>223</v>
      </c>
      <c r="M126" s="3"/>
    </row>
    <row r="127" spans="2:13" x14ac:dyDescent="0.25">
      <c r="C127" s="9" t="s">
        <v>14</v>
      </c>
      <c r="D127" s="10">
        <f>D126-D125</f>
        <v>70</v>
      </c>
      <c r="E127" s="30" t="s">
        <v>13</v>
      </c>
      <c r="J127" s="71" t="s">
        <v>223</v>
      </c>
      <c r="M127" s="3"/>
    </row>
    <row r="128" spans="2:13" x14ac:dyDescent="0.25">
      <c r="C128" s="9" t="s">
        <v>15</v>
      </c>
      <c r="D128" s="21">
        <f>D124*4.186*D127/1000</f>
        <v>85.321749257343086</v>
      </c>
      <c r="E128" s="30" t="s">
        <v>16</v>
      </c>
      <c r="J128" s="71" t="s">
        <v>223</v>
      </c>
      <c r="M128" s="3"/>
    </row>
    <row r="129" spans="2:13" x14ac:dyDescent="0.25">
      <c r="C129" s="9" t="s">
        <v>17</v>
      </c>
      <c r="D129" s="10">
        <f>D128*1000000/D122/60</f>
        <v>60.291625510879058</v>
      </c>
      <c r="E129" s="30" t="s">
        <v>18</v>
      </c>
      <c r="G129" t="s">
        <v>77</v>
      </c>
      <c r="J129" s="71" t="s">
        <v>223</v>
      </c>
    </row>
    <row r="130" spans="2:13" x14ac:dyDescent="0.25">
      <c r="C130" s="9" t="s">
        <v>19</v>
      </c>
      <c r="D130" s="12">
        <v>5</v>
      </c>
      <c r="E130" s="30" t="s">
        <v>4</v>
      </c>
      <c r="G130" t="s">
        <v>87</v>
      </c>
      <c r="J130" s="71" t="s">
        <v>223</v>
      </c>
      <c r="M130" s="3"/>
    </row>
    <row r="131" spans="2:13" x14ac:dyDescent="0.25">
      <c r="C131" s="13" t="s">
        <v>20</v>
      </c>
      <c r="D131" s="14">
        <f>D129*(100+D130)/100</f>
        <v>63.306206786423012</v>
      </c>
      <c r="E131" s="31" t="s">
        <v>18</v>
      </c>
      <c r="G131" t="str">
        <f>"Expected boiling time for "&amp;ROUND(D124,0)&amp;" litres."</f>
        <v>Expected boiling time for 291 litres.</v>
      </c>
      <c r="J131" s="71" t="s">
        <v>223</v>
      </c>
    </row>
    <row r="133" spans="2:13" x14ac:dyDescent="0.25">
      <c r="B133" s="29" t="s">
        <v>114</v>
      </c>
    </row>
    <row r="134" spans="2:13" x14ac:dyDescent="0.25">
      <c r="C134" s="6" t="s">
        <v>111</v>
      </c>
      <c r="D134" s="7">
        <v>37</v>
      </c>
      <c r="E134" s="8" t="s">
        <v>278</v>
      </c>
      <c r="G134" t="s">
        <v>103</v>
      </c>
      <c r="J134" s="71" t="s">
        <v>223</v>
      </c>
    </row>
    <row r="135" spans="2:13" x14ac:dyDescent="0.25">
      <c r="C135" s="9" t="s">
        <v>112</v>
      </c>
      <c r="D135" s="10">
        <f>D122/(D134/100)</f>
        <v>63745.536897584003</v>
      </c>
      <c r="E135" s="11" t="s">
        <v>8</v>
      </c>
      <c r="G135" t="s">
        <v>78</v>
      </c>
      <c r="J135" s="71" t="s">
        <v>223</v>
      </c>
      <c r="L135" t="s">
        <v>113</v>
      </c>
    </row>
    <row r="136" spans="2:13" x14ac:dyDescent="0.25">
      <c r="C136" s="9" t="s">
        <v>21</v>
      </c>
      <c r="D136" s="12">
        <v>99</v>
      </c>
      <c r="E136" s="11" t="s">
        <v>4</v>
      </c>
      <c r="G136" t="s">
        <v>79</v>
      </c>
      <c r="J136" s="71" t="s">
        <v>223</v>
      </c>
    </row>
    <row r="137" spans="2:13" x14ac:dyDescent="0.25">
      <c r="C137" s="13" t="s">
        <v>86</v>
      </c>
      <c r="D137" s="14">
        <f>D135*(D136/100)</f>
        <v>63108.081528608163</v>
      </c>
      <c r="E137" s="15" t="s">
        <v>8</v>
      </c>
      <c r="G137" t="s">
        <v>88</v>
      </c>
      <c r="J137" s="71" t="s">
        <v>223</v>
      </c>
    </row>
    <row r="138" spans="2:13" x14ac:dyDescent="0.25">
      <c r="D138" s="10"/>
    </row>
    <row r="139" spans="2:13" x14ac:dyDescent="0.25">
      <c r="B139" s="29" t="s">
        <v>116</v>
      </c>
      <c r="D139" s="10"/>
    </row>
    <row r="140" spans="2:13" x14ac:dyDescent="0.25">
      <c r="C140" s="6" t="s">
        <v>29</v>
      </c>
      <c r="D140" s="7" t="s">
        <v>30</v>
      </c>
      <c r="E140" s="8"/>
      <c r="F140" s="8"/>
      <c r="J140" s="71" t="s">
        <v>223</v>
      </c>
    </row>
    <row r="141" spans="2:13" x14ac:dyDescent="0.25">
      <c r="C141" s="9" t="s">
        <v>31</v>
      </c>
      <c r="D141" s="12">
        <v>14</v>
      </c>
      <c r="E141" s="11" t="s">
        <v>32</v>
      </c>
      <c r="F141" s="11"/>
      <c r="J141" s="71" t="s">
        <v>223</v>
      </c>
    </row>
    <row r="142" spans="2:13" x14ac:dyDescent="0.25">
      <c r="C142" s="9" t="s">
        <v>33</v>
      </c>
      <c r="D142" s="17">
        <v>20</v>
      </c>
      <c r="E142" s="11" t="s">
        <v>34</v>
      </c>
      <c r="F142" s="11"/>
      <c r="G142" t="s">
        <v>94</v>
      </c>
      <c r="J142" s="71" t="s">
        <v>223</v>
      </c>
    </row>
    <row r="143" spans="2:13" x14ac:dyDescent="0.25">
      <c r="C143" s="9" t="s">
        <v>28</v>
      </c>
      <c r="D143" s="17">
        <v>5.85</v>
      </c>
      <c r="E143" s="11" t="s">
        <v>4</v>
      </c>
      <c r="F143" s="11"/>
      <c r="G143" t="s">
        <v>95</v>
      </c>
      <c r="J143" s="71" t="s">
        <v>223</v>
      </c>
    </row>
    <row r="144" spans="2:13" ht="18" x14ac:dyDescent="0.35">
      <c r="C144" s="9" t="s">
        <v>35</v>
      </c>
      <c r="D144" s="18">
        <v>19.399999999999999</v>
      </c>
      <c r="E144" s="11" t="s">
        <v>4</v>
      </c>
      <c r="F144" s="11"/>
      <c r="G144" t="s">
        <v>80</v>
      </c>
      <c r="J144" s="71" t="s">
        <v>223</v>
      </c>
    </row>
    <row r="145" spans="2:12" x14ac:dyDescent="0.25">
      <c r="C145" s="9" t="s">
        <v>23</v>
      </c>
      <c r="D145" s="19">
        <f>D142-(D143/100*9*2.592)</f>
        <v>18.635311999999999</v>
      </c>
      <c r="E145" s="11" t="s">
        <v>24</v>
      </c>
      <c r="F145" s="11"/>
      <c r="J145" s="71" t="s">
        <v>223</v>
      </c>
    </row>
    <row r="146" spans="2:12" x14ac:dyDescent="0.25">
      <c r="C146" s="9" t="s">
        <v>25</v>
      </c>
      <c r="D146" s="19">
        <f>(D145*(1-D141/100))-(D141*0.02592)</f>
        <v>15.663488319999999</v>
      </c>
      <c r="E146" s="11" t="s">
        <v>25</v>
      </c>
      <c r="F146" s="11"/>
      <c r="J146" s="71" t="s">
        <v>223</v>
      </c>
    </row>
    <row r="147" spans="2:12" x14ac:dyDescent="0.25">
      <c r="C147" s="9" t="s">
        <v>26</v>
      </c>
      <c r="D147" s="18">
        <v>45.6</v>
      </c>
      <c r="E147" s="11" t="s">
        <v>4</v>
      </c>
      <c r="F147" s="11"/>
      <c r="G147" t="s">
        <v>246</v>
      </c>
      <c r="J147" s="71" t="s">
        <v>223</v>
      </c>
    </row>
    <row r="148" spans="2:12" ht="18" x14ac:dyDescent="0.35">
      <c r="C148" s="9" t="s">
        <v>27</v>
      </c>
      <c r="D148" s="19">
        <f>D147/100*((1-D141/100)/12*44)</f>
        <v>1.4379200000000001</v>
      </c>
      <c r="E148" s="11" t="s">
        <v>97</v>
      </c>
      <c r="F148" s="11"/>
      <c r="G148" t="s">
        <v>96</v>
      </c>
      <c r="J148" s="71" t="s">
        <v>223</v>
      </c>
    </row>
    <row r="149" spans="2:12" x14ac:dyDescent="0.25">
      <c r="C149" s="13" t="s">
        <v>22</v>
      </c>
      <c r="D149" s="20">
        <f>D137/(D146*1000000)*3600</f>
        <v>14.504374048844658</v>
      </c>
      <c r="E149" s="15" t="s">
        <v>39</v>
      </c>
      <c r="F149" s="15"/>
      <c r="J149" s="71" t="s">
        <v>223</v>
      </c>
    </row>
    <row r="150" spans="2:12" x14ac:dyDescent="0.25">
      <c r="D150" s="2"/>
    </row>
    <row r="151" spans="2:12" x14ac:dyDescent="0.25">
      <c r="B151" s="29" t="s">
        <v>117</v>
      </c>
      <c r="D151" s="2"/>
    </row>
    <row r="152" spans="2:12" x14ac:dyDescent="0.25">
      <c r="C152" s="6" t="s">
        <v>48</v>
      </c>
      <c r="D152" s="23"/>
      <c r="E152" s="8"/>
      <c r="F152" s="8"/>
    </row>
    <row r="153" spans="2:12" ht="17.25" x14ac:dyDescent="0.25">
      <c r="C153" s="9" t="s">
        <v>40</v>
      </c>
      <c r="D153" s="17">
        <v>3.56</v>
      </c>
      <c r="E153" s="11" t="s">
        <v>37</v>
      </c>
      <c r="F153" s="11"/>
      <c r="G153" t="s">
        <v>242</v>
      </c>
      <c r="J153" s="71" t="s">
        <v>223</v>
      </c>
    </row>
    <row r="154" spans="2:12" x14ac:dyDescent="0.25">
      <c r="C154" s="9" t="s">
        <v>41</v>
      </c>
      <c r="D154" s="17">
        <v>4.0999999999999996</v>
      </c>
      <c r="E154" s="11" t="s">
        <v>38</v>
      </c>
      <c r="F154" s="11"/>
      <c r="J154" s="71" t="s">
        <v>223</v>
      </c>
    </row>
    <row r="155" spans="2:12" x14ac:dyDescent="0.25">
      <c r="C155" s="9" t="s">
        <v>36</v>
      </c>
      <c r="D155" s="12">
        <v>100</v>
      </c>
      <c r="E155" s="11" t="s">
        <v>4</v>
      </c>
      <c r="F155" s="11"/>
      <c r="J155" s="71" t="s">
        <v>223</v>
      </c>
    </row>
    <row r="156" spans="2:12" ht="17.25" x14ac:dyDescent="0.25">
      <c r="C156" s="9" t="s">
        <v>47</v>
      </c>
      <c r="D156" s="19">
        <f>D154*D155/100+D153</f>
        <v>7.66</v>
      </c>
      <c r="E156" s="11" t="s">
        <v>42</v>
      </c>
      <c r="F156" s="11"/>
      <c r="J156" s="71" t="s">
        <v>223</v>
      </c>
    </row>
    <row r="157" spans="2:12" ht="17.25" x14ac:dyDescent="0.25">
      <c r="C157" s="9" t="s">
        <v>46</v>
      </c>
      <c r="D157" s="19">
        <f>D154+D154*D155/100</f>
        <v>8.1999999999999993</v>
      </c>
      <c r="E157" s="11" t="s">
        <v>42</v>
      </c>
      <c r="F157" s="11"/>
      <c r="G157" t="s">
        <v>81</v>
      </c>
      <c r="J157" s="71" t="s">
        <v>223</v>
      </c>
    </row>
    <row r="158" spans="2:12" ht="17.25" x14ac:dyDescent="0.25">
      <c r="C158" s="9" t="s">
        <v>45</v>
      </c>
      <c r="D158" s="21">
        <f>D156*D149</f>
        <v>111.10350521415009</v>
      </c>
      <c r="E158" s="11" t="s">
        <v>43</v>
      </c>
      <c r="F158" s="11"/>
      <c r="J158" s="71" t="s">
        <v>223</v>
      </c>
      <c r="L158" s="80" t="s">
        <v>339</v>
      </c>
    </row>
    <row r="159" spans="2:12" ht="17.25" x14ac:dyDescent="0.25">
      <c r="C159" s="13" t="s">
        <v>44</v>
      </c>
      <c r="D159" s="22">
        <f>D157*D149</f>
        <v>118.93586720052619</v>
      </c>
      <c r="E159" s="15" t="s">
        <v>43</v>
      </c>
      <c r="F159" s="33" t="str">
        <f>ROUND(D159*1000/3600, 1)&amp;" L/sec"</f>
        <v>33 L/sec</v>
      </c>
      <c r="G159" s="9"/>
      <c r="J159" s="71" t="s">
        <v>223</v>
      </c>
    </row>
    <row r="160" spans="2:12" x14ac:dyDescent="0.25">
      <c r="F160" s="11"/>
    </row>
    <row r="161" spans="2:14" x14ac:dyDescent="0.25">
      <c r="B161" s="29" t="s">
        <v>118</v>
      </c>
      <c r="D161"/>
      <c r="F161" s="11"/>
    </row>
    <row r="162" spans="2:14" x14ac:dyDescent="0.25">
      <c r="C162" s="6" t="s">
        <v>49</v>
      </c>
      <c r="D162" s="40">
        <f>D158*1000/3600</f>
        <v>30.862084781708358</v>
      </c>
      <c r="E162" s="8" t="s">
        <v>50</v>
      </c>
      <c r="F162" s="11"/>
      <c r="J162" s="71" t="s">
        <v>223</v>
      </c>
    </row>
    <row r="163" spans="2:14" x14ac:dyDescent="0.25">
      <c r="C163" s="9" t="s">
        <v>51</v>
      </c>
      <c r="D163" s="12">
        <v>900</v>
      </c>
      <c r="E163" s="30" t="s">
        <v>13</v>
      </c>
      <c r="F163" s="48" t="s">
        <v>82</v>
      </c>
      <c r="J163" s="71" t="s">
        <v>223</v>
      </c>
      <c r="M163" s="4" t="s">
        <v>100</v>
      </c>
    </row>
    <row r="164" spans="2:14" ht="17.25" x14ac:dyDescent="0.25">
      <c r="C164" s="9" t="str">
        <f>"Density at "&amp;D163&amp;"°C"</f>
        <v>Density at 900°C</v>
      </c>
      <c r="D164" s="24">
        <v>0.3009</v>
      </c>
      <c r="E164" s="30" t="s">
        <v>53</v>
      </c>
      <c r="F164" s="11"/>
      <c r="I164" s="35" t="s">
        <v>58</v>
      </c>
      <c r="J164" s="71" t="s">
        <v>223</v>
      </c>
      <c r="M164" s="4" t="s">
        <v>58</v>
      </c>
      <c r="N164" t="s">
        <v>59</v>
      </c>
    </row>
    <row r="165" spans="2:14" ht="17.25" x14ac:dyDescent="0.25">
      <c r="B165" s="28" t="s">
        <v>356</v>
      </c>
      <c r="C165" s="9" t="s">
        <v>74</v>
      </c>
      <c r="D165" s="10">
        <f>D159/D164</f>
        <v>395.26708940021996</v>
      </c>
      <c r="E165" s="11" t="s">
        <v>43</v>
      </c>
      <c r="F165" s="11"/>
      <c r="H165" t="s">
        <v>62</v>
      </c>
      <c r="I165" s="65">
        <v>900</v>
      </c>
      <c r="J165" s="5" t="s">
        <v>13</v>
      </c>
      <c r="M165" s="38">
        <v>1000</v>
      </c>
      <c r="N165" s="25">
        <v>0.27729999999999999</v>
      </c>
    </row>
    <row r="166" spans="2:14" x14ac:dyDescent="0.25">
      <c r="C166" s="9" t="s">
        <v>75</v>
      </c>
      <c r="D166" s="10">
        <f>D165/3.6</f>
        <v>109.79641372228332</v>
      </c>
      <c r="E166" s="11" t="s">
        <v>57</v>
      </c>
      <c r="F166" s="11"/>
      <c r="H166" t="s">
        <v>63</v>
      </c>
      <c r="I166" s="65">
        <v>350</v>
      </c>
      <c r="J166" s="5" t="s">
        <v>13</v>
      </c>
      <c r="M166" s="38">
        <v>900</v>
      </c>
      <c r="N166" s="25">
        <v>0.3009</v>
      </c>
    </row>
    <row r="167" spans="2:14" x14ac:dyDescent="0.25">
      <c r="C167" s="9" t="s">
        <v>340</v>
      </c>
      <c r="D167" s="19">
        <f>D166/(D77/1000*D80)</f>
        <v>1.3707636686394193</v>
      </c>
      <c r="E167" s="11" t="s">
        <v>52</v>
      </c>
      <c r="F167" s="11"/>
      <c r="H167" t="s">
        <v>64</v>
      </c>
      <c r="I167" s="35">
        <f>I165-I166</f>
        <v>550</v>
      </c>
      <c r="J167" s="5" t="s">
        <v>13</v>
      </c>
      <c r="M167" s="38">
        <v>800</v>
      </c>
      <c r="N167" s="25">
        <v>0.32890000000000003</v>
      </c>
    </row>
    <row r="168" spans="2:14" x14ac:dyDescent="0.25">
      <c r="C168" s="9" t="s">
        <v>99</v>
      </c>
      <c r="D168" s="10">
        <f>D93</f>
        <v>42.392755010395007</v>
      </c>
      <c r="E168" s="11" t="s">
        <v>1</v>
      </c>
      <c r="F168" s="11"/>
      <c r="H168" t="s">
        <v>102</v>
      </c>
      <c r="I168" s="66">
        <v>0.33500000000000002</v>
      </c>
      <c r="J168" s="5" t="s">
        <v>122</v>
      </c>
      <c r="M168" s="38">
        <v>700</v>
      </c>
      <c r="N168" s="25">
        <v>0.36259999999999998</v>
      </c>
    </row>
    <row r="169" spans="2:14" x14ac:dyDescent="0.25">
      <c r="C169" s="9" t="s">
        <v>341</v>
      </c>
      <c r="D169" s="20">
        <f>D165/3600/(D231/1000*(D96/1000))</f>
        <v>2.0956543813004069</v>
      </c>
      <c r="E169" s="15" t="str">
        <f>"m/sec (@ "&amp;D163&amp;" C)"</f>
        <v>m/sec (@ 900 C)</v>
      </c>
      <c r="F169" s="15"/>
      <c r="H169" t="s">
        <v>65</v>
      </c>
      <c r="I169" s="67">
        <f>I168*I167</f>
        <v>184.25</v>
      </c>
      <c r="J169" s="5" t="s">
        <v>13</v>
      </c>
      <c r="M169" s="34">
        <v>600</v>
      </c>
      <c r="N169" s="15">
        <v>0.40429999999999999</v>
      </c>
    </row>
    <row r="170" spans="2:14" x14ac:dyDescent="0.25">
      <c r="B170" s="28" t="s">
        <v>60</v>
      </c>
      <c r="C170" s="9" t="s">
        <v>98</v>
      </c>
      <c r="D170" s="12">
        <v>535</v>
      </c>
      <c r="E170" s="30" t="s">
        <v>13</v>
      </c>
      <c r="H170" t="s">
        <v>101</v>
      </c>
      <c r="I170" s="67">
        <f>I169+I166</f>
        <v>534.25</v>
      </c>
      <c r="J170" s="5" t="s">
        <v>13</v>
      </c>
      <c r="M170" s="38">
        <v>535</v>
      </c>
      <c r="N170" s="25">
        <f>N171-(M170-M171)/(M169-M171)*(N171-N169)</f>
        <v>0.43835999999999997</v>
      </c>
    </row>
    <row r="171" spans="2:14" x14ac:dyDescent="0.25">
      <c r="C171" s="9" t="s">
        <v>76</v>
      </c>
      <c r="D171" s="24">
        <v>0.43840000000000001</v>
      </c>
      <c r="E171" s="30" t="s">
        <v>61</v>
      </c>
      <c r="F171" s="8"/>
      <c r="H171" t="s">
        <v>66</v>
      </c>
      <c r="J171" s="71" t="s">
        <v>223</v>
      </c>
      <c r="M171" s="38">
        <v>500</v>
      </c>
      <c r="N171" s="25">
        <v>0.45669999999999999</v>
      </c>
    </row>
    <row r="172" spans="2:14" ht="17.25" x14ac:dyDescent="0.25">
      <c r="C172" s="9" t="s">
        <v>54</v>
      </c>
      <c r="D172" s="10">
        <f>D165*(D164/D171)</f>
        <v>271.29531751944842</v>
      </c>
      <c r="E172" s="11" t="s">
        <v>43</v>
      </c>
      <c r="F172" s="48" t="s">
        <v>83</v>
      </c>
      <c r="H172" t="s">
        <v>67</v>
      </c>
      <c r="J172" s="71" t="s">
        <v>223</v>
      </c>
      <c r="M172" s="38">
        <v>350</v>
      </c>
      <c r="N172" s="37">
        <v>0.56699999999999995</v>
      </c>
    </row>
    <row r="173" spans="2:14" x14ac:dyDescent="0.25">
      <c r="C173" s="9" t="s">
        <v>55</v>
      </c>
      <c r="D173" s="10">
        <f>D172/3600*1000</f>
        <v>75.359810422069003</v>
      </c>
      <c r="E173" s="11" t="s">
        <v>57</v>
      </c>
      <c r="F173" s="11"/>
      <c r="J173" s="71" t="s">
        <v>223</v>
      </c>
      <c r="M173" s="38">
        <v>225</v>
      </c>
      <c r="N173" s="37">
        <v>0.70799999999999996</v>
      </c>
    </row>
    <row r="174" spans="2:14" x14ac:dyDescent="0.25">
      <c r="C174" s="9" t="s">
        <v>357</v>
      </c>
      <c r="D174" s="10">
        <f>D168</f>
        <v>42.392755010395007</v>
      </c>
      <c r="E174" s="11" t="s">
        <v>1</v>
      </c>
      <c r="F174" s="11"/>
      <c r="J174" s="71" t="s">
        <v>223</v>
      </c>
    </row>
    <row r="175" spans="2:14" x14ac:dyDescent="0.25">
      <c r="C175" s="9" t="s">
        <v>68</v>
      </c>
      <c r="D175" s="19">
        <f>D172/(D118/1000*(D174/1000))/3600</f>
        <v>0.67202617944082588</v>
      </c>
      <c r="E175" s="11" t="s">
        <v>52</v>
      </c>
      <c r="F175" s="11"/>
      <c r="J175" s="71" t="s">
        <v>223</v>
      </c>
    </row>
    <row r="176" spans="2:14" x14ac:dyDescent="0.25">
      <c r="C176" s="9" t="s">
        <v>243</v>
      </c>
      <c r="D176" s="21">
        <f>D84</f>
        <v>40</v>
      </c>
      <c r="E176" s="11" t="s">
        <v>1</v>
      </c>
      <c r="F176" s="11"/>
      <c r="J176" s="71" t="s">
        <v>223</v>
      </c>
    </row>
    <row r="177" spans="2:11" x14ac:dyDescent="0.25">
      <c r="C177" s="13" t="s">
        <v>69</v>
      </c>
      <c r="D177" s="27">
        <f>(D172/3600)/((((D16+2*D176)/2)^2*PI()/1000000)-((D16/2)^2*PI()/1000000))</f>
        <v>0.67992552942972828</v>
      </c>
      <c r="E177" s="15" t="s">
        <v>52</v>
      </c>
      <c r="F177" s="58"/>
      <c r="J177" s="71" t="s">
        <v>223</v>
      </c>
    </row>
    <row r="179" spans="2:11" x14ac:dyDescent="0.25">
      <c r="B179" s="53" t="s">
        <v>127</v>
      </c>
    </row>
    <row r="180" spans="2:11" x14ac:dyDescent="0.25">
      <c r="B180" s="28" t="s">
        <v>342</v>
      </c>
      <c r="C180" s="6" t="s">
        <v>70</v>
      </c>
      <c r="D180" s="7">
        <v>350</v>
      </c>
      <c r="E180" s="44" t="s">
        <v>121</v>
      </c>
      <c r="F180" s="52" t="s">
        <v>84</v>
      </c>
      <c r="J180" s="71" t="s">
        <v>223</v>
      </c>
    </row>
    <row r="181" spans="2:11" x14ac:dyDescent="0.25">
      <c r="C181" s="9" t="s">
        <v>76</v>
      </c>
      <c r="D181" s="24">
        <v>0.56699999999999995</v>
      </c>
      <c r="E181" s="30" t="s">
        <v>61</v>
      </c>
      <c r="F181" s="11"/>
      <c r="J181" s="71" t="s">
        <v>223</v>
      </c>
      <c r="K181" t="s">
        <v>289</v>
      </c>
    </row>
    <row r="182" spans="2:11" x14ac:dyDescent="0.25">
      <c r="C182" s="9" t="s">
        <v>72</v>
      </c>
      <c r="D182" s="39">
        <f>D164/D181*D166</f>
        <v>58.267620615582111</v>
      </c>
      <c r="E182" s="30" t="s">
        <v>56</v>
      </c>
      <c r="F182" s="11"/>
      <c r="J182" s="71" t="s">
        <v>223</v>
      </c>
    </row>
    <row r="183" spans="2:11" x14ac:dyDescent="0.25">
      <c r="C183" s="9" t="s">
        <v>244</v>
      </c>
      <c r="D183" s="10">
        <f>D101</f>
        <v>178</v>
      </c>
      <c r="E183" s="30" t="s">
        <v>1</v>
      </c>
      <c r="F183" s="11"/>
      <c r="J183" s="71" t="s">
        <v>223</v>
      </c>
    </row>
    <row r="184" spans="2:11" x14ac:dyDescent="0.25">
      <c r="C184" s="9" t="s">
        <v>245</v>
      </c>
      <c r="D184" s="10">
        <f>1.84*D183</f>
        <v>327.52000000000004</v>
      </c>
      <c r="E184" s="30" t="s">
        <v>1</v>
      </c>
      <c r="F184" s="11"/>
      <c r="J184" s="71" t="s">
        <v>223</v>
      </c>
    </row>
    <row r="185" spans="2:11" x14ac:dyDescent="0.25">
      <c r="C185" s="9" t="s">
        <v>343</v>
      </c>
      <c r="D185" s="19">
        <f>(D182/1000)/((D183/1000*25/1000)*2+(D184/1000*25/1000)*2)</f>
        <v>2.3052548115042772</v>
      </c>
      <c r="E185" s="11" t="s">
        <v>52</v>
      </c>
      <c r="F185" s="11"/>
      <c r="J185" s="71" t="s">
        <v>223</v>
      </c>
    </row>
    <row r="186" spans="2:11" x14ac:dyDescent="0.25">
      <c r="C186" s="13" t="str">
        <f>"Gas velocity in chimney @ "&amp;D180&amp;"°"</f>
        <v>Gas velocity in chimney @ 350°</v>
      </c>
      <c r="D186" s="20">
        <f>D182/(((D101/100)/2)^2*PI())/10</f>
        <v>2.3415174455682659</v>
      </c>
      <c r="E186" s="15" t="str">
        <f>"m/sec at "&amp;ROUND(D137/1000,1)&amp;" kW"</f>
        <v>m/sec at 63.1 kW</v>
      </c>
      <c r="F186" s="15"/>
      <c r="J186" s="71" t="s">
        <v>223</v>
      </c>
    </row>
    <row r="187" spans="2:11" x14ac:dyDescent="0.25">
      <c r="D187" s="2"/>
      <c r="J187" s="71" t="s">
        <v>223</v>
      </c>
      <c r="K187" s="4" t="s">
        <v>73</v>
      </c>
    </row>
    <row r="188" spans="2:11" x14ac:dyDescent="0.25">
      <c r="B188" s="29" t="s">
        <v>195</v>
      </c>
    </row>
    <row r="189" spans="2:11" x14ac:dyDescent="0.25">
      <c r="B189" s="29" t="s">
        <v>290</v>
      </c>
      <c r="C189" s="6" t="s">
        <v>281</v>
      </c>
      <c r="D189" s="16">
        <f>D57-D48</f>
        <v>93.852757929059109</v>
      </c>
      <c r="E189" s="8" t="s">
        <v>1</v>
      </c>
      <c r="I189" s="35" t="s">
        <v>180</v>
      </c>
    </row>
    <row r="190" spans="2:11" x14ac:dyDescent="0.25">
      <c r="B190" s="29"/>
      <c r="C190" s="9" t="s">
        <v>292</v>
      </c>
      <c r="D190" s="10">
        <f>D53</f>
        <v>1360.5</v>
      </c>
      <c r="E190" s="11" t="s">
        <v>1</v>
      </c>
      <c r="I190" s="35" t="str">
        <f>I53</f>
        <v>L1</v>
      </c>
    </row>
    <row r="191" spans="2:11" x14ac:dyDescent="0.25">
      <c r="B191" s="29"/>
      <c r="C191" s="9" t="s">
        <v>291</v>
      </c>
      <c r="D191" s="10">
        <f>D52</f>
        <v>1360.5</v>
      </c>
      <c r="E191" s="11" t="s">
        <v>1</v>
      </c>
      <c r="I191" s="35" t="str">
        <f>I52</f>
        <v>W3</v>
      </c>
    </row>
    <row r="192" spans="2:11" x14ac:dyDescent="0.25">
      <c r="B192" s="29"/>
      <c r="C192" s="9" t="s">
        <v>293</v>
      </c>
      <c r="D192" s="10">
        <f>D58</f>
        <v>283.01717061555371</v>
      </c>
      <c r="E192" s="11" t="s">
        <v>1</v>
      </c>
      <c r="I192" s="79" t="str">
        <f>I58</f>
        <v>W12</v>
      </c>
    </row>
    <row r="193" spans="2:10" x14ac:dyDescent="0.25">
      <c r="C193" s="9" t="s">
        <v>279</v>
      </c>
      <c r="D193" s="10">
        <f>D190-D194</f>
        <v>538.74141469222309</v>
      </c>
      <c r="E193" s="11" t="s">
        <v>1</v>
      </c>
      <c r="I193" s="35" t="s">
        <v>189</v>
      </c>
    </row>
    <row r="194" spans="2:10" x14ac:dyDescent="0.25">
      <c r="C194" s="9" t="s">
        <v>186</v>
      </c>
      <c r="D194" s="10">
        <f>D53/2+D58/2</f>
        <v>821.75858530777691</v>
      </c>
      <c r="E194" s="11" t="s">
        <v>1</v>
      </c>
      <c r="I194" s="35" t="s">
        <v>190</v>
      </c>
    </row>
    <row r="195" spans="2:10" x14ac:dyDescent="0.25">
      <c r="C195" s="9" t="s">
        <v>187</v>
      </c>
      <c r="D195" s="10">
        <f>D53/2+D58/2+15-D109-D110</f>
        <v>401.75858530777691</v>
      </c>
      <c r="E195" s="11" t="s">
        <v>1</v>
      </c>
      <c r="I195" s="35" t="s">
        <v>191</v>
      </c>
      <c r="J195" t="s">
        <v>280</v>
      </c>
    </row>
    <row r="196" spans="2:10" x14ac:dyDescent="0.25">
      <c r="C196" s="9" t="s">
        <v>188</v>
      </c>
      <c r="D196" s="10">
        <f>D194-D195</f>
        <v>420</v>
      </c>
      <c r="E196" s="11" t="s">
        <v>1</v>
      </c>
      <c r="I196" s="35" t="s">
        <v>192</v>
      </c>
      <c r="J196" t="s">
        <v>280</v>
      </c>
    </row>
    <row r="197" spans="2:10" x14ac:dyDescent="0.25">
      <c r="C197" s="13" t="s">
        <v>193</v>
      </c>
      <c r="D197" s="14">
        <f>(D190-D58)/2</f>
        <v>538.74141469222309</v>
      </c>
      <c r="E197" s="15" t="s">
        <v>1</v>
      </c>
      <c r="I197" s="35" t="s">
        <v>194</v>
      </c>
    </row>
    <row r="199" spans="2:10" x14ac:dyDescent="0.25">
      <c r="B199" s="29" t="s">
        <v>199</v>
      </c>
    </row>
    <row r="200" spans="2:10" x14ac:dyDescent="0.25">
      <c r="B200" s="29" t="s">
        <v>290</v>
      </c>
      <c r="C200" s="6" t="s">
        <v>284</v>
      </c>
      <c r="D200" s="16">
        <f>D189+D39+D48</f>
        <v>193.85275792905912</v>
      </c>
      <c r="E200" s="8" t="s">
        <v>1</v>
      </c>
      <c r="I200" s="35" t="s">
        <v>176</v>
      </c>
    </row>
    <row r="201" spans="2:10" x14ac:dyDescent="0.25">
      <c r="C201" s="9" t="s">
        <v>295</v>
      </c>
      <c r="D201" s="10">
        <f>D200</f>
        <v>193.85275792905912</v>
      </c>
      <c r="E201" s="11" t="s">
        <v>1</v>
      </c>
      <c r="I201" s="35" t="s">
        <v>145</v>
      </c>
    </row>
    <row r="202" spans="2:10" x14ac:dyDescent="0.25">
      <c r="C202" s="9" t="s">
        <v>296</v>
      </c>
      <c r="D202" s="10">
        <f>D65*D38+(D65-1)*D60</f>
        <v>873</v>
      </c>
      <c r="E202" s="11" t="s">
        <v>1</v>
      </c>
      <c r="I202" s="73" t="s">
        <v>196</v>
      </c>
      <c r="J202" t="s">
        <v>280</v>
      </c>
    </row>
    <row r="203" spans="2:10" x14ac:dyDescent="0.25">
      <c r="C203" s="9" t="s">
        <v>294</v>
      </c>
      <c r="D203" s="10">
        <f>D204+2*D41</f>
        <v>595.9</v>
      </c>
      <c r="E203" s="11" t="s">
        <v>1</v>
      </c>
      <c r="I203" s="73" t="s">
        <v>197</v>
      </c>
    </row>
    <row r="204" spans="2:10" x14ac:dyDescent="0.25">
      <c r="C204" s="13" t="s">
        <v>299</v>
      </c>
      <c r="D204" s="14">
        <f>D40+2*D48</f>
        <v>380</v>
      </c>
      <c r="E204" s="15" t="s">
        <v>1</v>
      </c>
      <c r="I204" s="73" t="s">
        <v>198</v>
      </c>
      <c r="J204" t="s">
        <v>280</v>
      </c>
    </row>
    <row r="206" spans="2:10" x14ac:dyDescent="0.25">
      <c r="B206" s="29" t="s">
        <v>200</v>
      </c>
    </row>
    <row r="207" spans="2:10" x14ac:dyDescent="0.25">
      <c r="B207" s="29" t="s">
        <v>290</v>
      </c>
      <c r="C207" s="6" t="s">
        <v>285</v>
      </c>
      <c r="D207" s="16">
        <f>D189+D200</f>
        <v>287.70551585811825</v>
      </c>
      <c r="E207" s="8" t="s">
        <v>1</v>
      </c>
      <c r="I207" s="35" t="s">
        <v>164</v>
      </c>
    </row>
    <row r="208" spans="2:10" x14ac:dyDescent="0.25">
      <c r="C208" s="9" t="s">
        <v>300</v>
      </c>
      <c r="D208" s="10">
        <f>D192+160</f>
        <v>443.01717061555371</v>
      </c>
      <c r="E208" s="11" t="s">
        <v>1</v>
      </c>
      <c r="I208" s="73" t="s">
        <v>201</v>
      </c>
      <c r="J208" t="s">
        <v>303</v>
      </c>
    </row>
    <row r="209" spans="2:9" x14ac:dyDescent="0.25">
      <c r="C209" s="9" t="s">
        <v>301</v>
      </c>
      <c r="D209" s="10">
        <f>D31+D48</f>
        <v>122.94999999999999</v>
      </c>
      <c r="E209" s="11" t="s">
        <v>1</v>
      </c>
      <c r="I209" s="73" t="s">
        <v>202</v>
      </c>
    </row>
    <row r="210" spans="2:9" x14ac:dyDescent="0.25">
      <c r="C210" s="9" t="s">
        <v>306</v>
      </c>
      <c r="D210" s="10">
        <f>D77</f>
        <v>283.01717061555371</v>
      </c>
      <c r="E210" s="11" t="s">
        <v>1</v>
      </c>
      <c r="I210" s="35" t="str">
        <f>I77</f>
        <v>W10</v>
      </c>
    </row>
    <row r="211" spans="2:9" x14ac:dyDescent="0.25">
      <c r="C211" s="13" t="s">
        <v>302</v>
      </c>
      <c r="D211" s="14">
        <f>D194</f>
        <v>821.75858530777691</v>
      </c>
      <c r="E211" s="15" t="s">
        <v>1</v>
      </c>
      <c r="I211" s="73" t="s">
        <v>203</v>
      </c>
    </row>
    <row r="213" spans="2:9" x14ac:dyDescent="0.25">
      <c r="B213" s="29" t="s">
        <v>204</v>
      </c>
    </row>
    <row r="214" spans="2:9" x14ac:dyDescent="0.25">
      <c r="B214" s="29" t="s">
        <v>290</v>
      </c>
      <c r="C214" s="6" t="s">
        <v>304</v>
      </c>
      <c r="D214" s="16">
        <f>D207+D189</f>
        <v>381.55827378717737</v>
      </c>
      <c r="E214" s="8" t="s">
        <v>1</v>
      </c>
      <c r="I214" s="35" t="s">
        <v>159</v>
      </c>
    </row>
    <row r="215" spans="2:9" x14ac:dyDescent="0.25">
      <c r="C215" s="9" t="s">
        <v>308</v>
      </c>
      <c r="D215" s="10">
        <f>D81</f>
        <v>189.621504312421</v>
      </c>
      <c r="E215" s="11" t="s">
        <v>1</v>
      </c>
    </row>
    <row r="216" spans="2:9" x14ac:dyDescent="0.25">
      <c r="C216" s="13" t="s">
        <v>300</v>
      </c>
      <c r="D216" s="14">
        <f>D208</f>
        <v>443.01717061555371</v>
      </c>
      <c r="E216" s="15" t="s">
        <v>1</v>
      </c>
      <c r="I216" s="73" t="s">
        <v>142</v>
      </c>
    </row>
    <row r="218" spans="2:9" x14ac:dyDescent="0.25">
      <c r="B218" s="29" t="s">
        <v>205</v>
      </c>
    </row>
    <row r="219" spans="2:9" x14ac:dyDescent="0.25">
      <c r="B219" s="29" t="s">
        <v>290</v>
      </c>
      <c r="C219" s="6" t="s">
        <v>307</v>
      </c>
      <c r="D219" s="16">
        <f>D214+D189</f>
        <v>475.41103171623649</v>
      </c>
      <c r="E219" s="8" t="s">
        <v>1</v>
      </c>
      <c r="I219" s="73" t="s">
        <v>142</v>
      </c>
    </row>
    <row r="220" spans="2:9" x14ac:dyDescent="0.25">
      <c r="B220" s="29"/>
      <c r="C220" s="9" t="s">
        <v>300</v>
      </c>
      <c r="D220" s="10">
        <f>D216-148</f>
        <v>295.01717061555371</v>
      </c>
      <c r="E220" s="11" t="s">
        <v>1</v>
      </c>
      <c r="I220" s="73" t="s">
        <v>142</v>
      </c>
    </row>
    <row r="221" spans="2:9" x14ac:dyDescent="0.25">
      <c r="B221" s="29"/>
      <c r="C221" s="9" t="str">
        <f>C204</f>
        <v>Width to accommodate U-channels</v>
      </c>
      <c r="D221" s="39">
        <f>D204</f>
        <v>380</v>
      </c>
      <c r="E221" s="11" t="s">
        <v>1</v>
      </c>
      <c r="I221" s="73" t="s">
        <v>142</v>
      </c>
    </row>
    <row r="222" spans="2:9" x14ac:dyDescent="0.25">
      <c r="B222" s="29"/>
      <c r="C222" s="9" t="s">
        <v>310</v>
      </c>
      <c r="D222" s="39">
        <f>D67</f>
        <v>538.7414146922232</v>
      </c>
      <c r="E222" s="11" t="s">
        <v>1</v>
      </c>
    </row>
    <row r="223" spans="2:9" x14ac:dyDescent="0.25">
      <c r="B223" s="29"/>
      <c r="C223" s="9" t="s">
        <v>319</v>
      </c>
      <c r="D223" s="39">
        <f>D215</f>
        <v>189.621504312421</v>
      </c>
      <c r="E223" s="11" t="s">
        <v>1</v>
      </c>
    </row>
    <row r="224" spans="2:9" x14ac:dyDescent="0.25">
      <c r="B224" s="29"/>
      <c r="C224" s="9" t="s">
        <v>253</v>
      </c>
      <c r="D224" s="39">
        <f>D211-D222</f>
        <v>283.01717061555371</v>
      </c>
      <c r="E224" s="11" t="s">
        <v>1</v>
      </c>
    </row>
    <row r="225" spans="2:10" x14ac:dyDescent="0.25">
      <c r="B225" s="29"/>
      <c r="C225" s="13" t="s">
        <v>318</v>
      </c>
      <c r="D225" s="41">
        <f>D210</f>
        <v>283.01717061555371</v>
      </c>
      <c r="E225" s="15" t="s">
        <v>1</v>
      </c>
    </row>
    <row r="226" spans="2:10" x14ac:dyDescent="0.25">
      <c r="B226" s="29"/>
      <c r="D226" s="63"/>
    </row>
    <row r="227" spans="2:10" x14ac:dyDescent="0.25">
      <c r="B227" s="29" t="s">
        <v>305</v>
      </c>
    </row>
    <row r="228" spans="2:10" x14ac:dyDescent="0.25">
      <c r="B228" s="29" t="s">
        <v>290</v>
      </c>
      <c r="C228" s="6" t="s">
        <v>320</v>
      </c>
      <c r="D228" s="16">
        <f>D219+D189+5</f>
        <v>574.26378964529556</v>
      </c>
      <c r="E228" s="8" t="s">
        <v>1</v>
      </c>
    </row>
    <row r="229" spans="2:10" x14ac:dyDescent="0.25">
      <c r="C229" s="9" t="s">
        <v>321</v>
      </c>
      <c r="D229" s="10">
        <f>D228-D42+D41</f>
        <v>606.01378964529556</v>
      </c>
      <c r="E229" s="11" t="s">
        <v>1</v>
      </c>
    </row>
    <row r="230" spans="2:10" x14ac:dyDescent="0.25">
      <c r="C230" s="9" t="s">
        <v>344</v>
      </c>
      <c r="D230" s="39"/>
      <c r="E230" s="11"/>
    </row>
    <row r="231" spans="2:10" x14ac:dyDescent="0.25">
      <c r="C231" s="9" t="s">
        <v>332</v>
      </c>
      <c r="D231" s="39">
        <f>D232+2*D41+2*D48</f>
        <v>528.91717061555369</v>
      </c>
      <c r="E231" s="11" t="s">
        <v>1</v>
      </c>
    </row>
    <row r="232" spans="2:10" x14ac:dyDescent="0.25">
      <c r="C232" s="9" t="s">
        <v>253</v>
      </c>
      <c r="D232" s="39">
        <f>D224</f>
        <v>283.01717061555371</v>
      </c>
      <c r="E232" s="11" t="s">
        <v>1</v>
      </c>
    </row>
    <row r="233" spans="2:10" x14ac:dyDescent="0.25">
      <c r="C233" s="9" t="s">
        <v>322</v>
      </c>
      <c r="D233" s="39">
        <f>D228-D200</f>
        <v>380.41103171623644</v>
      </c>
      <c r="E233" s="11" t="s">
        <v>1</v>
      </c>
    </row>
    <row r="234" spans="2:10" x14ac:dyDescent="0.25">
      <c r="C234" s="13" t="s">
        <v>323</v>
      </c>
      <c r="D234" s="41">
        <f>D233-D223+D41-D42</f>
        <v>222.53952740381544</v>
      </c>
      <c r="E234" s="15" t="s">
        <v>1</v>
      </c>
      <c r="J234" s="4"/>
    </row>
    <row r="235" spans="2:10" x14ac:dyDescent="0.25">
      <c r="J235" s="4"/>
    </row>
    <row r="236" spans="2:10" x14ac:dyDescent="0.25">
      <c r="B236" s="29" t="s">
        <v>324</v>
      </c>
      <c r="J236" s="4"/>
    </row>
    <row r="237" spans="2:10" x14ac:dyDescent="0.25">
      <c r="B237" s="29" t="s">
        <v>290</v>
      </c>
      <c r="C237" s="6" t="s">
        <v>325</v>
      </c>
      <c r="D237" s="16">
        <f>D228+D189</f>
        <v>668.11654757435463</v>
      </c>
      <c r="E237" s="8" t="s">
        <v>1</v>
      </c>
      <c r="J237" s="4"/>
    </row>
    <row r="238" spans="2:10" x14ac:dyDescent="0.25">
      <c r="C238" s="9" t="s">
        <v>326</v>
      </c>
      <c r="D238" s="10">
        <f>D237+(D229-D228)</f>
        <v>699.86654757435463</v>
      </c>
      <c r="E238" s="11" t="s">
        <v>1</v>
      </c>
      <c r="J238" s="4"/>
    </row>
    <row r="239" spans="2:10" x14ac:dyDescent="0.25">
      <c r="C239" s="9" t="s">
        <v>327</v>
      </c>
      <c r="D239" s="39">
        <f>D14+2*D84</f>
        <v>922</v>
      </c>
      <c r="E239" s="11" t="s">
        <v>1</v>
      </c>
      <c r="I239" s="35">
        <v>7</v>
      </c>
      <c r="J239" s="4">
        <f>D237+D189*0</f>
        <v>668.11654757435463</v>
      </c>
    </row>
    <row r="240" spans="2:10" x14ac:dyDescent="0.25">
      <c r="C240" s="9" t="s">
        <v>328</v>
      </c>
      <c r="D240" s="39">
        <f>(D34*1.08)*2+D239</f>
        <v>1119.2080000000001</v>
      </c>
      <c r="E240" s="11" t="s">
        <v>1</v>
      </c>
      <c r="I240" s="35">
        <v>8</v>
      </c>
      <c r="J240" s="4">
        <f>D237+D189*1</f>
        <v>761.96930550341369</v>
      </c>
    </row>
    <row r="241" spans="2:10" x14ac:dyDescent="0.25">
      <c r="C241" s="13" t="s">
        <v>331</v>
      </c>
      <c r="D241" s="41">
        <f>D87-(2*D31)</f>
        <v>1144.5999999999999</v>
      </c>
      <c r="E241" s="15" t="s">
        <v>1</v>
      </c>
      <c r="I241" s="35">
        <v>9</v>
      </c>
      <c r="J241" s="4">
        <f>D237+D189*2</f>
        <v>855.82206343247287</v>
      </c>
    </row>
    <row r="242" spans="2:10" x14ac:dyDescent="0.25">
      <c r="I242" s="35">
        <v>10</v>
      </c>
      <c r="J242" s="4">
        <f>D237+D189*3</f>
        <v>949.67482136153194</v>
      </c>
    </row>
    <row r="243" spans="2:10" x14ac:dyDescent="0.25">
      <c r="B243" s="29" t="s">
        <v>333</v>
      </c>
      <c r="I243" s="35">
        <v>11</v>
      </c>
      <c r="J243" s="4">
        <f>D237+D189*4</f>
        <v>1043.5275792905911</v>
      </c>
    </row>
    <row r="244" spans="2:10" x14ac:dyDescent="0.25">
      <c r="B244" s="29" t="s">
        <v>290</v>
      </c>
      <c r="C244" s="6" t="s">
        <v>334</v>
      </c>
      <c r="D244" s="16">
        <f>D237+D189*5</f>
        <v>1137.3803372196503</v>
      </c>
      <c r="E244" s="8" t="s">
        <v>1</v>
      </c>
      <c r="I244" s="35">
        <v>12</v>
      </c>
      <c r="J244" s="4">
        <f>D237+D189*5</f>
        <v>1137.3803372196503</v>
      </c>
    </row>
    <row r="245" spans="2:10" x14ac:dyDescent="0.25">
      <c r="C245" s="9" t="s">
        <v>345</v>
      </c>
      <c r="D245" s="10">
        <f>D237+5*(D189-5)</f>
        <v>1112.3803372196503</v>
      </c>
      <c r="E245" s="11" t="s">
        <v>1</v>
      </c>
      <c r="J245" s="4"/>
    </row>
    <row r="246" spans="2:10" x14ac:dyDescent="0.25">
      <c r="C246" s="9" t="s">
        <v>346</v>
      </c>
      <c r="D246" s="10">
        <f>((D87-D23)/2)*SIN(0.063)+D245</f>
        <v>1127.9126618272619</v>
      </c>
      <c r="E246" s="11" t="s">
        <v>1</v>
      </c>
      <c r="J246" s="4"/>
    </row>
    <row r="247" spans="2:10" x14ac:dyDescent="0.25">
      <c r="C247" s="13" t="s">
        <v>347</v>
      </c>
      <c r="D247" s="14">
        <f>D238+4*(D35+D48+1)</f>
        <v>1068.6665475743546</v>
      </c>
      <c r="E247" s="15" t="s">
        <v>1</v>
      </c>
      <c r="J247" s="4"/>
    </row>
    <row r="248" spans="2:10" x14ac:dyDescent="0.25">
      <c r="J248" s="4"/>
    </row>
  </sheetData>
  <conditionalFormatting sqref="L64">
    <cfRule type="cellIs" dxfId="2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595F9-56EB-4D1B-8268-1E31D83F61C4}">
  <dimension ref="B2:O247"/>
  <sheetViews>
    <sheetView topLeftCell="A70" zoomScale="130" zoomScaleNormal="130" workbookViewId="0">
      <selection activeCell="C37" sqref="C37"/>
    </sheetView>
  </sheetViews>
  <sheetFormatPr defaultRowHeight="15" x14ac:dyDescent="0.25"/>
  <cols>
    <col min="1" max="1" width="6" customWidth="1"/>
    <col min="2" max="2" width="30" customWidth="1"/>
    <col min="3" max="3" width="35.42578125" customWidth="1"/>
    <col min="4" max="4" width="19.42578125" style="4" bestFit="1" customWidth="1"/>
    <col min="5" max="5" width="17" customWidth="1"/>
    <col min="6" max="6" width="11" hidden="1" customWidth="1"/>
    <col min="7" max="7" width="9.140625" hidden="1" customWidth="1"/>
    <col min="8" max="8" width="56.28515625" hidden="1" customWidth="1"/>
    <col min="9" max="9" width="8" style="35" customWidth="1"/>
    <col min="10" max="10" width="9.140625" customWidth="1"/>
    <col min="11" max="11" width="7.5703125" customWidth="1"/>
    <col min="12" max="12" width="14" customWidth="1"/>
    <col min="13" max="13" width="29.28515625" style="4" customWidth="1"/>
  </cols>
  <sheetData>
    <row r="2" spans="2:12" ht="18.75" x14ac:dyDescent="0.3">
      <c r="B2" s="1" t="str">
        <f>ROUNDDOWN(D10/50,0)*50&amp;" Litre MEMD Stove"</f>
        <v>500 Litre MEMD Stove</v>
      </c>
      <c r="C2" s="64" t="s">
        <v>217</v>
      </c>
      <c r="D2" s="35"/>
    </row>
    <row r="3" spans="2:12" ht="18.75" x14ac:dyDescent="0.3">
      <c r="B3" s="1"/>
      <c r="D3" s="35"/>
    </row>
    <row r="4" spans="2:12" x14ac:dyDescent="0.25">
      <c r="C4" t="s">
        <v>0</v>
      </c>
      <c r="D4" s="36">
        <v>45621</v>
      </c>
      <c r="E4" t="str">
        <f>Dimensions!F2</f>
        <v>Version 1.4</v>
      </c>
    </row>
    <row r="5" spans="2:12" x14ac:dyDescent="0.25">
      <c r="B5" s="69" t="s">
        <v>219</v>
      </c>
    </row>
    <row r="7" spans="2:12" x14ac:dyDescent="0.25">
      <c r="B7" s="29" t="s">
        <v>212</v>
      </c>
      <c r="D7"/>
      <c r="I7" s="35" t="s">
        <v>218</v>
      </c>
    </row>
    <row r="8" spans="2:12" x14ac:dyDescent="0.25">
      <c r="C8" s="6" t="s">
        <v>108</v>
      </c>
      <c r="D8" s="7">
        <v>992</v>
      </c>
      <c r="E8" s="8" t="s">
        <v>1</v>
      </c>
      <c r="I8" s="35" t="s">
        <v>131</v>
      </c>
      <c r="J8" s="71" t="s">
        <v>223</v>
      </c>
      <c r="L8" s="4">
        <f>(D8/20)^2*PI()+(D9/10*D8/10*PI())*D119/100</f>
        <v>20713.239161516649</v>
      </c>
    </row>
    <row r="9" spans="2:12" x14ac:dyDescent="0.25">
      <c r="C9" s="9" t="s">
        <v>348</v>
      </c>
      <c r="D9" s="57">
        <f>D8*0.7</f>
        <v>694.4</v>
      </c>
      <c r="E9" s="11" t="s">
        <v>1</v>
      </c>
      <c r="I9" s="35" t="s">
        <v>132</v>
      </c>
      <c r="J9" s="71" t="s">
        <v>223</v>
      </c>
      <c r="K9" t="s">
        <v>359</v>
      </c>
      <c r="L9" s="2">
        <f>D122/L8</f>
        <v>1.6098294055865308</v>
      </c>
    </row>
    <row r="10" spans="2:12" x14ac:dyDescent="0.25">
      <c r="C10" s="9" t="s">
        <v>89</v>
      </c>
      <c r="D10" s="10">
        <f>(D8/200)^2*PI()*D9/100</f>
        <v>536.68930125959548</v>
      </c>
      <c r="E10" s="11" t="s">
        <v>3</v>
      </c>
      <c r="I10" s="35" t="s">
        <v>170</v>
      </c>
      <c r="J10" s="71" t="s">
        <v>223</v>
      </c>
      <c r="K10" s="81">
        <f>D10/500-1</f>
        <v>7.3378602519190927E-2</v>
      </c>
    </row>
    <row r="11" spans="2:12" x14ac:dyDescent="0.25">
      <c r="C11" s="9" t="s">
        <v>105</v>
      </c>
      <c r="D11" s="18">
        <v>2</v>
      </c>
      <c r="E11" s="11" t="s">
        <v>1</v>
      </c>
      <c r="I11" s="35" t="s">
        <v>134</v>
      </c>
      <c r="J11" s="71" t="s">
        <v>223</v>
      </c>
    </row>
    <row r="12" spans="2:12" x14ac:dyDescent="0.25">
      <c r="C12" s="9" t="s">
        <v>106</v>
      </c>
      <c r="D12" s="18">
        <v>3</v>
      </c>
      <c r="E12" s="11" t="s">
        <v>1</v>
      </c>
      <c r="I12" s="35" t="s">
        <v>135</v>
      </c>
      <c r="J12" s="71" t="s">
        <v>223</v>
      </c>
    </row>
    <row r="13" spans="2:12" x14ac:dyDescent="0.25">
      <c r="C13" s="9" t="s">
        <v>224</v>
      </c>
      <c r="D13" s="18">
        <v>40</v>
      </c>
      <c r="E13" s="11" t="s">
        <v>1</v>
      </c>
      <c r="I13" s="35" t="s">
        <v>136</v>
      </c>
      <c r="J13" s="71" t="s">
        <v>223</v>
      </c>
    </row>
    <row r="14" spans="2:12" x14ac:dyDescent="0.25">
      <c r="C14" s="9" t="s">
        <v>107</v>
      </c>
      <c r="D14" s="10">
        <f>D8+2*D11</f>
        <v>996</v>
      </c>
      <c r="E14" s="11" t="s">
        <v>1</v>
      </c>
      <c r="J14" s="71"/>
    </row>
    <row r="15" spans="2:12" x14ac:dyDescent="0.25">
      <c r="C15" s="9" t="s">
        <v>229</v>
      </c>
      <c r="D15" s="10">
        <f>(D9+D12)*0.25</f>
        <v>174.35</v>
      </c>
      <c r="E15" s="11" t="s">
        <v>1</v>
      </c>
      <c r="I15" s="35" t="s">
        <v>151</v>
      </c>
      <c r="J15" s="71" t="s">
        <v>223</v>
      </c>
      <c r="K15" t="s">
        <v>236</v>
      </c>
    </row>
    <row r="16" spans="2:12" x14ac:dyDescent="0.25">
      <c r="C16" s="9" t="s">
        <v>234</v>
      </c>
      <c r="D16" s="10">
        <f>D8+2*D11</f>
        <v>996</v>
      </c>
      <c r="E16" s="11" t="s">
        <v>1</v>
      </c>
      <c r="I16" s="35" t="s">
        <v>133</v>
      </c>
      <c r="J16" s="71" t="s">
        <v>223</v>
      </c>
    </row>
    <row r="17" spans="2:10" x14ac:dyDescent="0.25">
      <c r="C17" s="9" t="s">
        <v>222</v>
      </c>
      <c r="D17" s="10">
        <f>D13*2+D16</f>
        <v>1076</v>
      </c>
      <c r="E17" s="11" t="s">
        <v>1</v>
      </c>
      <c r="I17" s="35" t="s">
        <v>148</v>
      </c>
      <c r="J17" s="71" t="s">
        <v>223</v>
      </c>
    </row>
    <row r="18" spans="2:10" x14ac:dyDescent="0.25">
      <c r="C18" s="9" t="s">
        <v>183</v>
      </c>
      <c r="D18" s="10">
        <f>D9+D12</f>
        <v>697.4</v>
      </c>
      <c r="E18" s="11" t="s">
        <v>1</v>
      </c>
      <c r="I18" s="35" t="s">
        <v>184</v>
      </c>
      <c r="J18" s="71" t="s">
        <v>223</v>
      </c>
    </row>
    <row r="19" spans="2:10" x14ac:dyDescent="0.25">
      <c r="C19" s="60"/>
      <c r="D19" s="16"/>
      <c r="E19" s="60"/>
    </row>
    <row r="20" spans="2:10" x14ac:dyDescent="0.25">
      <c r="B20" s="29" t="s">
        <v>231</v>
      </c>
      <c r="D20" s="10"/>
    </row>
    <row r="21" spans="2:10" x14ac:dyDescent="0.25">
      <c r="C21" s="6" t="s">
        <v>230</v>
      </c>
      <c r="D21" s="40">
        <f>D16+2*D25</f>
        <v>1013.856</v>
      </c>
      <c r="E21" s="8" t="s">
        <v>1</v>
      </c>
      <c r="I21" s="35" t="s">
        <v>147</v>
      </c>
      <c r="J21" s="71" t="s">
        <v>223</v>
      </c>
    </row>
    <row r="22" spans="2:10" x14ac:dyDescent="0.25">
      <c r="C22" s="9" t="s">
        <v>225</v>
      </c>
      <c r="D22" s="12">
        <v>5</v>
      </c>
      <c r="E22" s="11" t="s">
        <v>1</v>
      </c>
      <c r="I22" s="35" t="s">
        <v>139</v>
      </c>
      <c r="J22" s="71" t="s">
        <v>223</v>
      </c>
    </row>
    <row r="23" spans="2:10" x14ac:dyDescent="0.25">
      <c r="C23" s="9" t="s">
        <v>226</v>
      </c>
      <c r="D23" s="63">
        <f>D21+2*D22</f>
        <v>1023.856</v>
      </c>
      <c r="E23" s="11" t="s">
        <v>1</v>
      </c>
      <c r="I23" s="35" t="s">
        <v>211</v>
      </c>
      <c r="J23" s="71" t="s">
        <v>223</v>
      </c>
    </row>
    <row r="24" spans="2:10" x14ac:dyDescent="0.25">
      <c r="C24" s="9" t="s">
        <v>227</v>
      </c>
      <c r="D24" s="12">
        <v>50</v>
      </c>
      <c r="E24" s="11" t="s">
        <v>1</v>
      </c>
      <c r="I24" s="35" t="s">
        <v>152</v>
      </c>
      <c r="J24" s="71" t="s">
        <v>223</v>
      </c>
    </row>
    <row r="25" spans="2:10" x14ac:dyDescent="0.25">
      <c r="C25" s="9" t="s">
        <v>228</v>
      </c>
      <c r="D25" s="74">
        <f>D8*0.009</f>
        <v>8.927999999999999</v>
      </c>
      <c r="E25" s="11" t="s">
        <v>1</v>
      </c>
      <c r="I25" s="35" t="s">
        <v>137</v>
      </c>
      <c r="J25" s="71" t="s">
        <v>223</v>
      </c>
    </row>
    <row r="26" spans="2:10" x14ac:dyDescent="0.25">
      <c r="C26" s="9" t="s">
        <v>232</v>
      </c>
      <c r="D26" s="74">
        <f>(D21+2*D22/3)*PI()</f>
        <v>3195.5945369098995</v>
      </c>
      <c r="E26" s="11" t="s">
        <v>1</v>
      </c>
      <c r="J26" s="71" t="s">
        <v>223</v>
      </c>
    </row>
    <row r="27" spans="2:10" x14ac:dyDescent="0.25">
      <c r="C27" s="9" t="s">
        <v>350</v>
      </c>
      <c r="D27" s="74">
        <f>D23*0.3</f>
        <v>307.15679999999998</v>
      </c>
      <c r="E27" s="11" t="s">
        <v>1</v>
      </c>
      <c r="J27" s="71"/>
    </row>
    <row r="28" spans="2:10" x14ac:dyDescent="0.25">
      <c r="C28" s="13" t="s">
        <v>335</v>
      </c>
      <c r="D28" s="77">
        <v>6</v>
      </c>
      <c r="E28" s="15" t="s">
        <v>1</v>
      </c>
      <c r="J28" s="71"/>
    </row>
    <row r="29" spans="2:10" x14ac:dyDescent="0.25">
      <c r="D29" s="21"/>
    </row>
    <row r="30" spans="2:10" x14ac:dyDescent="0.25">
      <c r="B30" s="29" t="s">
        <v>258</v>
      </c>
      <c r="D30"/>
    </row>
    <row r="31" spans="2:10" x14ac:dyDescent="0.25">
      <c r="B31" s="29"/>
      <c r="C31" s="6" t="s">
        <v>257</v>
      </c>
      <c r="D31" s="7">
        <f>25.4*4.25</f>
        <v>107.94999999999999</v>
      </c>
      <c r="E31" s="8" t="s">
        <v>1</v>
      </c>
      <c r="I31" s="35" t="s">
        <v>214</v>
      </c>
      <c r="J31" s="71" t="s">
        <v>223</v>
      </c>
    </row>
    <row r="32" spans="2:10" x14ac:dyDescent="0.25">
      <c r="B32" s="29"/>
      <c r="C32" s="9" t="s">
        <v>329</v>
      </c>
      <c r="D32" s="12">
        <f>25.4*3</f>
        <v>76.199999999999989</v>
      </c>
      <c r="E32" s="11" t="s">
        <v>1</v>
      </c>
      <c r="I32" s="35" t="s">
        <v>215</v>
      </c>
      <c r="J32" s="71" t="s">
        <v>223</v>
      </c>
    </row>
    <row r="33" spans="2:10" x14ac:dyDescent="0.25">
      <c r="B33" s="29"/>
      <c r="C33" s="9" t="s">
        <v>330</v>
      </c>
      <c r="D33" s="12">
        <f>25.4*9</f>
        <v>228.6</v>
      </c>
      <c r="E33" s="11" t="s">
        <v>1</v>
      </c>
      <c r="J33" s="71" t="s">
        <v>223</v>
      </c>
    </row>
    <row r="34" spans="2:10" x14ac:dyDescent="0.25">
      <c r="B34" s="29"/>
      <c r="C34" s="9" t="s">
        <v>259</v>
      </c>
      <c r="D34" s="12">
        <v>91.3</v>
      </c>
      <c r="E34" s="11" t="s">
        <v>1</v>
      </c>
      <c r="J34" s="71"/>
    </row>
    <row r="35" spans="2:10" x14ac:dyDescent="0.25">
      <c r="B35" s="29"/>
      <c r="C35" s="9" t="s">
        <v>260</v>
      </c>
      <c r="D35" s="12">
        <v>76.2</v>
      </c>
      <c r="E35" s="11" t="s">
        <v>1</v>
      </c>
      <c r="J35" s="71"/>
    </row>
    <row r="36" spans="2:10" x14ac:dyDescent="0.25">
      <c r="B36" s="29"/>
      <c r="C36" s="9" t="s">
        <v>261</v>
      </c>
      <c r="D36" s="12">
        <v>250.1</v>
      </c>
      <c r="E36" s="11" t="s">
        <v>1</v>
      </c>
      <c r="J36" s="71"/>
    </row>
    <row r="37" spans="2:10" x14ac:dyDescent="0.25">
      <c r="B37" s="29"/>
      <c r="C37" s="9"/>
      <c r="D37" s="12"/>
      <c r="E37" s="11"/>
      <c r="J37" s="71"/>
    </row>
    <row r="38" spans="2:10" x14ac:dyDescent="0.25">
      <c r="B38" s="29"/>
      <c r="C38" s="9" t="s">
        <v>267</v>
      </c>
      <c r="D38" s="12">
        <v>133</v>
      </c>
      <c r="E38" s="11" t="s">
        <v>1</v>
      </c>
      <c r="J38" s="71"/>
    </row>
    <row r="39" spans="2:10" x14ac:dyDescent="0.25">
      <c r="B39" s="29"/>
      <c r="C39" s="9" t="s">
        <v>268</v>
      </c>
      <c r="D39" s="12">
        <v>85</v>
      </c>
      <c r="E39" s="11" t="s">
        <v>1</v>
      </c>
      <c r="J39" s="71"/>
    </row>
    <row r="40" spans="2:10" x14ac:dyDescent="0.25">
      <c r="B40" s="29"/>
      <c r="C40" s="9" t="s">
        <v>269</v>
      </c>
      <c r="D40" s="12">
        <v>350</v>
      </c>
      <c r="E40" s="11" t="s">
        <v>1</v>
      </c>
      <c r="J40" s="71"/>
    </row>
    <row r="41" spans="2:10" x14ac:dyDescent="0.25">
      <c r="B41" s="29"/>
      <c r="C41" s="9" t="s">
        <v>270</v>
      </c>
      <c r="D41" s="12">
        <f>4.25*25.4</f>
        <v>107.94999999999999</v>
      </c>
      <c r="E41" s="11" t="s">
        <v>1</v>
      </c>
      <c r="J41" s="71"/>
    </row>
    <row r="42" spans="2:10" x14ac:dyDescent="0.25">
      <c r="B42" s="29"/>
      <c r="C42" s="9" t="s">
        <v>271</v>
      </c>
      <c r="D42" s="12">
        <f>3*25.4</f>
        <v>76.199999999999989</v>
      </c>
      <c r="E42" s="11" t="s">
        <v>1</v>
      </c>
      <c r="J42" s="71"/>
    </row>
    <row r="43" spans="2:10" x14ac:dyDescent="0.25">
      <c r="B43" s="29"/>
      <c r="C43" s="9" t="s">
        <v>272</v>
      </c>
      <c r="D43" s="12">
        <f>9*25.4</f>
        <v>228.6</v>
      </c>
      <c r="E43" s="11" t="s">
        <v>1</v>
      </c>
      <c r="J43" s="71"/>
    </row>
    <row r="44" spans="2:10" x14ac:dyDescent="0.25">
      <c r="B44" s="29"/>
      <c r="C44" s="9" t="s">
        <v>262</v>
      </c>
      <c r="D44" s="12">
        <f>4.25*25.4</f>
        <v>107.94999999999999</v>
      </c>
      <c r="E44" s="11" t="s">
        <v>1</v>
      </c>
      <c r="J44" s="71"/>
    </row>
    <row r="45" spans="2:10" x14ac:dyDescent="0.25">
      <c r="B45" s="29"/>
      <c r="C45" s="9" t="s">
        <v>264</v>
      </c>
      <c r="D45" s="12">
        <f>3*25.4</f>
        <v>76.199999999999989</v>
      </c>
      <c r="E45" s="11" t="s">
        <v>1</v>
      </c>
      <c r="J45" s="71"/>
    </row>
    <row r="46" spans="2:10" x14ac:dyDescent="0.25">
      <c r="B46" s="29"/>
      <c r="C46" s="9" t="s">
        <v>263</v>
      </c>
      <c r="D46" s="12">
        <f>9*25.4</f>
        <v>228.6</v>
      </c>
      <c r="E46" s="11" t="s">
        <v>1</v>
      </c>
      <c r="J46" s="71"/>
    </row>
    <row r="47" spans="2:10" x14ac:dyDescent="0.25">
      <c r="B47" s="29"/>
      <c r="C47" s="9" t="s">
        <v>373</v>
      </c>
      <c r="D47" s="12">
        <v>3</v>
      </c>
      <c r="E47" s="11" t="s">
        <v>1</v>
      </c>
      <c r="J47" s="71"/>
    </row>
    <row r="48" spans="2:10" x14ac:dyDescent="0.25">
      <c r="B48" s="29"/>
      <c r="C48" s="13" t="s">
        <v>282</v>
      </c>
      <c r="D48" s="77">
        <v>15</v>
      </c>
      <c r="E48" s="15" t="s">
        <v>283</v>
      </c>
      <c r="J48" s="71"/>
    </row>
    <row r="49" spans="2:15" x14ac:dyDescent="0.25">
      <c r="B49" s="29"/>
      <c r="D49"/>
      <c r="J49" s="71"/>
    </row>
    <row r="50" spans="2:15" x14ac:dyDescent="0.25">
      <c r="B50" s="29" t="s">
        <v>367</v>
      </c>
      <c r="D50"/>
      <c r="J50" s="71"/>
    </row>
    <row r="51" spans="2:15" x14ac:dyDescent="0.25">
      <c r="C51" s="6" t="s">
        <v>372</v>
      </c>
      <c r="D51" s="45">
        <f>D98+D79+D81+D57+D39</f>
        <v>1298.9858031094213</v>
      </c>
      <c r="E51" s="8" t="s">
        <v>1</v>
      </c>
      <c r="I51" s="35" t="s">
        <v>153</v>
      </c>
    </row>
    <row r="52" spans="2:15" x14ac:dyDescent="0.25">
      <c r="C52" s="9" t="s">
        <v>125</v>
      </c>
      <c r="D52" s="43">
        <f>D85+(D31*2)+(D34)*2+D48*2</f>
        <v>1504.5</v>
      </c>
      <c r="E52" s="11" t="s">
        <v>1</v>
      </c>
      <c r="I52" s="35" t="s">
        <v>140</v>
      </c>
      <c r="J52" s="71" t="s">
        <v>223</v>
      </c>
    </row>
    <row r="53" spans="2:15" x14ac:dyDescent="0.25">
      <c r="C53" s="9" t="s">
        <v>126</v>
      </c>
      <c r="D53" s="43">
        <f>D85+(D31*2)+(D34)*2+D48*2</f>
        <v>1504.5</v>
      </c>
      <c r="E53" s="11" t="s">
        <v>1</v>
      </c>
      <c r="I53" s="35" t="s">
        <v>160</v>
      </c>
      <c r="J53" s="71" t="s">
        <v>223</v>
      </c>
    </row>
    <row r="54" spans="2:15" x14ac:dyDescent="0.25">
      <c r="C54" s="13" t="s">
        <v>265</v>
      </c>
      <c r="D54" s="41">
        <f>D57</f>
        <v>129.42781549404114</v>
      </c>
      <c r="E54" s="15" t="s">
        <v>1</v>
      </c>
      <c r="I54" s="35" t="s">
        <v>237</v>
      </c>
    </row>
    <row r="55" spans="2:15" x14ac:dyDescent="0.25">
      <c r="D55" s="39"/>
    </row>
    <row r="56" spans="2:15" x14ac:dyDescent="0.25">
      <c r="B56" s="29" t="s">
        <v>255</v>
      </c>
      <c r="H56" s="26"/>
    </row>
    <row r="57" spans="2:15" x14ac:dyDescent="0.25">
      <c r="C57" s="6" t="s">
        <v>256</v>
      </c>
      <c r="D57" s="45">
        <f>IF(D77/2.6 &lt;D42+2*D48, D42+2*D48,D77/2.6)</f>
        <v>129.42781549404114</v>
      </c>
      <c r="E57" s="8" t="s">
        <v>1</v>
      </c>
      <c r="H57" s="26"/>
      <c r="I57" s="35" t="s">
        <v>180</v>
      </c>
      <c r="J57" s="71" t="s">
        <v>223</v>
      </c>
    </row>
    <row r="58" spans="2:15" x14ac:dyDescent="0.25">
      <c r="C58" s="9" t="s">
        <v>238</v>
      </c>
      <c r="D58" s="39">
        <f>D80</f>
        <v>336.51232028450698</v>
      </c>
      <c r="E58" s="11" t="s">
        <v>1</v>
      </c>
      <c r="H58" s="26"/>
      <c r="I58" s="35" t="s">
        <v>171</v>
      </c>
      <c r="J58" s="71" t="s">
        <v>223</v>
      </c>
    </row>
    <row r="59" spans="2:15" x14ac:dyDescent="0.25">
      <c r="C59" s="9" t="s">
        <v>286</v>
      </c>
      <c r="D59" s="10">
        <f>(D53-D80)/2+D80</f>
        <v>920.50616014225352</v>
      </c>
      <c r="E59" s="11" t="s">
        <v>1</v>
      </c>
      <c r="H59" s="26"/>
      <c r="I59" s="73" t="s">
        <v>149</v>
      </c>
      <c r="J59" s="78" t="s">
        <v>287</v>
      </c>
      <c r="K59" s="72" t="s">
        <v>288</v>
      </c>
    </row>
    <row r="60" spans="2:15" x14ac:dyDescent="0.25">
      <c r="C60" s="9" t="s">
        <v>337</v>
      </c>
      <c r="D60" s="12">
        <v>15</v>
      </c>
      <c r="E60" s="11" t="s">
        <v>1</v>
      </c>
      <c r="H60" s="26"/>
      <c r="I60" s="35" t="s">
        <v>169</v>
      </c>
      <c r="J60" s="71"/>
    </row>
    <row r="61" spans="2:15" x14ac:dyDescent="0.25">
      <c r="C61" s="13" t="s">
        <v>338</v>
      </c>
      <c r="D61" s="14">
        <f>D40+24</f>
        <v>374</v>
      </c>
      <c r="E61" s="15" t="s">
        <v>1</v>
      </c>
      <c r="H61" s="26"/>
      <c r="I61" s="35" t="s">
        <v>172</v>
      </c>
      <c r="J61" s="71" t="s">
        <v>223</v>
      </c>
    </row>
    <row r="62" spans="2:15" x14ac:dyDescent="0.25">
      <c r="D62" s="10"/>
      <c r="H62" s="26"/>
    </row>
    <row r="63" spans="2:15" x14ac:dyDescent="0.25">
      <c r="B63" s="29" t="s">
        <v>315</v>
      </c>
      <c r="D63" s="10"/>
      <c r="H63" s="26"/>
      <c r="J63" s="6" t="s">
        <v>361</v>
      </c>
      <c r="K63" s="60" t="s">
        <v>363</v>
      </c>
      <c r="L63" s="60" t="s">
        <v>362</v>
      </c>
      <c r="M63" s="16" t="s">
        <v>364</v>
      </c>
      <c r="N63" s="60"/>
      <c r="O63" s="8"/>
    </row>
    <row r="64" spans="2:15" x14ac:dyDescent="0.25">
      <c r="B64" s="29"/>
      <c r="C64" s="6" t="s">
        <v>336</v>
      </c>
      <c r="D64" s="16">
        <f>ROUNDDOWN((D67-D31-D48)/D38,1)</f>
        <v>3.4</v>
      </c>
      <c r="E64" s="8"/>
      <c r="H64" s="26"/>
      <c r="J64" s="32">
        <f>D64*D38</f>
        <v>452.2</v>
      </c>
      <c r="K64" s="39">
        <f>D67</f>
        <v>583.99383985774648</v>
      </c>
      <c r="L64" s="39">
        <f>-(J64-K64)-D31-D48</f>
        <v>8.8438398577465023</v>
      </c>
      <c r="M64" s="10" t="str">
        <f>IF(L64&gt;0,"Spare","Interference")</f>
        <v>Spare</v>
      </c>
      <c r="O64" s="11"/>
    </row>
    <row r="65" spans="2:15" x14ac:dyDescent="0.25">
      <c r="B65" s="29"/>
      <c r="C65" s="9" t="s">
        <v>358</v>
      </c>
      <c r="D65" s="10">
        <f>ROUNDUP(D194/(D38+D60),0)</f>
        <v>7</v>
      </c>
      <c r="E65" s="11"/>
      <c r="H65" s="26"/>
      <c r="J65" s="34">
        <f>D65*(D38+D60)-D60</f>
        <v>1021</v>
      </c>
      <c r="K65" s="41">
        <f>D66</f>
        <v>920.50616014225352</v>
      </c>
      <c r="L65" s="41">
        <f>J65-K65</f>
        <v>100.49383985774648</v>
      </c>
      <c r="M65" s="61" t="s">
        <v>360</v>
      </c>
      <c r="N65" s="61"/>
      <c r="O65" s="15"/>
    </row>
    <row r="66" spans="2:15" x14ac:dyDescent="0.25">
      <c r="C66" s="9" t="s">
        <v>316</v>
      </c>
      <c r="D66" s="10">
        <f>(D53-D80)/2+D80</f>
        <v>920.50616014225352</v>
      </c>
      <c r="E66" s="11" t="s">
        <v>1</v>
      </c>
      <c r="H66" s="26"/>
      <c r="J66" s="71"/>
    </row>
    <row r="67" spans="2:15" x14ac:dyDescent="0.25">
      <c r="C67" s="9" t="s">
        <v>317</v>
      </c>
      <c r="D67" s="10">
        <f>D194-D80</f>
        <v>583.99383985774648</v>
      </c>
      <c r="E67" s="11" t="s">
        <v>1</v>
      </c>
      <c r="H67" s="26"/>
      <c r="J67" s="71"/>
    </row>
    <row r="68" spans="2:15" x14ac:dyDescent="0.25">
      <c r="C68" s="9" t="s">
        <v>109</v>
      </c>
      <c r="D68" s="10">
        <f>D77</f>
        <v>336.51232028450698</v>
      </c>
      <c r="E68" s="11" t="s">
        <v>1</v>
      </c>
      <c r="H68" s="26"/>
      <c r="I68" s="35" t="s">
        <v>145</v>
      </c>
      <c r="J68" s="71" t="s">
        <v>223</v>
      </c>
    </row>
    <row r="69" spans="2:15" x14ac:dyDescent="0.25">
      <c r="C69" s="13" t="s">
        <v>129</v>
      </c>
      <c r="D69" s="14">
        <f>D81</f>
        <v>225.4632545906197</v>
      </c>
      <c r="E69" s="15" t="s">
        <v>1</v>
      </c>
      <c r="H69" s="26"/>
      <c r="I69" s="35" t="s">
        <v>179</v>
      </c>
      <c r="J69" s="71" t="s">
        <v>223</v>
      </c>
    </row>
    <row r="70" spans="2:15" x14ac:dyDescent="0.25">
      <c r="D70" s="39"/>
    </row>
    <row r="71" spans="2:15" x14ac:dyDescent="0.25">
      <c r="B71" s="53" t="s">
        <v>177</v>
      </c>
    </row>
    <row r="72" spans="2:15" x14ac:dyDescent="0.25">
      <c r="C72" s="6" t="s">
        <v>266</v>
      </c>
      <c r="D72" s="56">
        <f>D96+D79+D81</f>
        <v>609.08729971495768</v>
      </c>
      <c r="E72" s="8" t="s">
        <v>1</v>
      </c>
      <c r="I72" s="35" t="s">
        <v>156</v>
      </c>
    </row>
    <row r="73" spans="2:15" x14ac:dyDescent="0.25">
      <c r="C73" s="13" t="s">
        <v>178</v>
      </c>
      <c r="D73" s="42">
        <f>D96+D79+D81+D57</f>
        <v>738.51511520899885</v>
      </c>
      <c r="E73" s="15" t="s">
        <v>1</v>
      </c>
      <c r="I73" s="35" t="s">
        <v>157</v>
      </c>
      <c r="J73" t="s">
        <v>280</v>
      </c>
    </row>
    <row r="74" spans="2:15" x14ac:dyDescent="0.25">
      <c r="D74" s="39"/>
    </row>
    <row r="75" spans="2:15" x14ac:dyDescent="0.25">
      <c r="B75" s="29" t="s">
        <v>309</v>
      </c>
      <c r="D75" s="10"/>
      <c r="H75" s="26"/>
    </row>
    <row r="76" spans="2:15" ht="17.25" x14ac:dyDescent="0.25">
      <c r="C76" s="6" t="s">
        <v>123</v>
      </c>
      <c r="D76" s="7">
        <v>65</v>
      </c>
      <c r="E76" s="8" t="s">
        <v>85</v>
      </c>
      <c r="H76" s="26"/>
      <c r="J76" s="71" t="s">
        <v>223</v>
      </c>
      <c r="K76" t="s">
        <v>239</v>
      </c>
    </row>
    <row r="77" spans="2:15" x14ac:dyDescent="0.25">
      <c r="C77" s="9" t="s">
        <v>110</v>
      </c>
      <c r="D77" s="10">
        <f>SQRT(D137/D76*82.5)</f>
        <v>336.51232028450698</v>
      </c>
      <c r="E77" s="11" t="s">
        <v>1</v>
      </c>
      <c r="H77" s="26"/>
      <c r="I77" s="35" t="s">
        <v>144</v>
      </c>
      <c r="J77" s="71" t="s">
        <v>223</v>
      </c>
    </row>
    <row r="78" spans="2:15" x14ac:dyDescent="0.25">
      <c r="C78" s="9" t="s">
        <v>369</v>
      </c>
      <c r="D78" s="10">
        <f>D77+2*D42+2*D48</f>
        <v>518.9123202845069</v>
      </c>
      <c r="E78" s="11" t="s">
        <v>1</v>
      </c>
      <c r="H78" s="26"/>
      <c r="J78" s="71"/>
    </row>
    <row r="79" spans="2:15" x14ac:dyDescent="0.25">
      <c r="C79" s="9" t="s">
        <v>252</v>
      </c>
      <c r="D79" s="10">
        <f>D77*0.79</f>
        <v>265.84473302476056</v>
      </c>
      <c r="E79" s="11" t="s">
        <v>1</v>
      </c>
      <c r="H79" s="26"/>
      <c r="I79" s="35" t="s">
        <v>164</v>
      </c>
      <c r="J79" s="71" t="s">
        <v>223</v>
      </c>
      <c r="K79" s="76"/>
    </row>
    <row r="80" spans="2:15" x14ac:dyDescent="0.25">
      <c r="C80" s="9" t="s">
        <v>253</v>
      </c>
      <c r="D80" s="10">
        <f>D77</f>
        <v>336.51232028450698</v>
      </c>
      <c r="E80" s="11" t="s">
        <v>1</v>
      </c>
      <c r="H80" s="26"/>
      <c r="I80" s="35" t="s">
        <v>167</v>
      </c>
      <c r="J80" s="71" t="s">
        <v>223</v>
      </c>
      <c r="K80" s="75"/>
    </row>
    <row r="81" spans="2:11" x14ac:dyDescent="0.25">
      <c r="C81" s="13" t="s">
        <v>254</v>
      </c>
      <c r="D81" s="14">
        <f>D77*0.67</f>
        <v>225.4632545906197</v>
      </c>
      <c r="E81" s="15" t="s">
        <v>1</v>
      </c>
      <c r="H81" s="26"/>
      <c r="I81" s="35" t="s">
        <v>176</v>
      </c>
      <c r="J81" s="71" t="s">
        <v>223</v>
      </c>
      <c r="K81" s="76"/>
    </row>
    <row r="83" spans="2:11" x14ac:dyDescent="0.25">
      <c r="B83" s="29" t="s">
        <v>119</v>
      </c>
      <c r="D83"/>
    </row>
    <row r="84" spans="2:11" x14ac:dyDescent="0.25">
      <c r="C84" s="6" t="s">
        <v>233</v>
      </c>
      <c r="D84" s="7">
        <v>40</v>
      </c>
      <c r="E84" s="8" t="s">
        <v>1</v>
      </c>
      <c r="I84" s="35" t="s">
        <v>138</v>
      </c>
      <c r="J84" s="71" t="s">
        <v>223</v>
      </c>
    </row>
    <row r="85" spans="2:11" x14ac:dyDescent="0.25">
      <c r="C85" s="9" t="s">
        <v>235</v>
      </c>
      <c r="D85" s="39">
        <f>D84*2+D16</f>
        <v>1076</v>
      </c>
      <c r="E85" s="11" t="s">
        <v>1</v>
      </c>
      <c r="I85" s="35" t="s">
        <v>165</v>
      </c>
      <c r="J85" s="71" t="s">
        <v>223</v>
      </c>
    </row>
    <row r="86" spans="2:11" x14ac:dyDescent="0.25">
      <c r="C86" s="9" t="s">
        <v>120</v>
      </c>
      <c r="D86" s="39">
        <f>(D9+D12)-D15+D42-D28</f>
        <v>593.25</v>
      </c>
      <c r="E86" s="11" t="s">
        <v>1</v>
      </c>
      <c r="I86" s="35" t="s">
        <v>154</v>
      </c>
      <c r="J86" s="71" t="s">
        <v>223</v>
      </c>
      <c r="K86" s="76"/>
    </row>
    <row r="87" spans="2:11" x14ac:dyDescent="0.25">
      <c r="C87" s="9" t="s">
        <v>174</v>
      </c>
      <c r="D87" s="43">
        <f>D52</f>
        <v>1504.5</v>
      </c>
      <c r="E87" s="11" t="s">
        <v>1</v>
      </c>
      <c r="I87" s="35" t="s">
        <v>141</v>
      </c>
      <c r="J87" s="71" t="s">
        <v>223</v>
      </c>
    </row>
    <row r="88" spans="2:11" x14ac:dyDescent="0.25">
      <c r="C88" s="9" t="s">
        <v>173</v>
      </c>
      <c r="D88" s="10">
        <f>D87</f>
        <v>1504.5</v>
      </c>
      <c r="E88" s="11" t="s">
        <v>1</v>
      </c>
      <c r="I88" s="35" t="s">
        <v>161</v>
      </c>
      <c r="J88" s="71" t="s">
        <v>223</v>
      </c>
    </row>
    <row r="89" spans="2:11" x14ac:dyDescent="0.25">
      <c r="C89" s="9" t="s">
        <v>175</v>
      </c>
      <c r="D89" s="43">
        <f>D86</f>
        <v>593.25</v>
      </c>
      <c r="E89" s="11" t="s">
        <v>1</v>
      </c>
      <c r="I89" s="35" t="s">
        <v>155</v>
      </c>
      <c r="J89" s="71" t="s">
        <v>223</v>
      </c>
    </row>
    <row r="90" spans="2:11" x14ac:dyDescent="0.25">
      <c r="C90" s="13" t="s">
        <v>213</v>
      </c>
      <c r="D90" s="42">
        <f>(D52-D85)/2</f>
        <v>214.25</v>
      </c>
      <c r="E90" s="15" t="s">
        <v>1</v>
      </c>
      <c r="I90" s="35" t="s">
        <v>216</v>
      </c>
      <c r="J90" s="71" t="s">
        <v>223</v>
      </c>
    </row>
    <row r="91" spans="2:11" x14ac:dyDescent="0.25">
      <c r="D91" s="43"/>
    </row>
    <row r="92" spans="2:11" x14ac:dyDescent="0.25">
      <c r="B92" s="29" t="s">
        <v>311</v>
      </c>
      <c r="D92" s="26"/>
    </row>
    <row r="93" spans="2:11" x14ac:dyDescent="0.25">
      <c r="B93" s="29"/>
      <c r="C93" s="6" t="s">
        <v>353</v>
      </c>
      <c r="D93" s="45">
        <f>(D94*2+2*D95)/(D14*PI())*D96</f>
        <v>50.666483451143428</v>
      </c>
      <c r="E93" s="8" t="s">
        <v>1</v>
      </c>
      <c r="I93" s="35" t="s">
        <v>158</v>
      </c>
      <c r="J93" s="71" t="s">
        <v>223</v>
      </c>
    </row>
    <row r="94" spans="2:11" x14ac:dyDescent="0.25">
      <c r="C94" s="9" t="s">
        <v>312</v>
      </c>
      <c r="D94" s="10">
        <f>D77</f>
        <v>336.51232028450698</v>
      </c>
      <c r="E94" s="11" t="s">
        <v>1</v>
      </c>
      <c r="I94" s="73" t="s">
        <v>142</v>
      </c>
    </row>
    <row r="95" spans="2:11" x14ac:dyDescent="0.25">
      <c r="C95" s="9" t="s">
        <v>313</v>
      </c>
      <c r="D95" s="10">
        <f>D80</f>
        <v>336.51232028450698</v>
      </c>
      <c r="E95" s="11" t="s">
        <v>1</v>
      </c>
      <c r="I95" s="73" t="s">
        <v>143</v>
      </c>
    </row>
    <row r="96" spans="2:11" x14ac:dyDescent="0.25">
      <c r="C96" s="9" t="s">
        <v>314</v>
      </c>
      <c r="D96" s="10">
        <f>D94*0.35</f>
        <v>117.77931209957744</v>
      </c>
      <c r="E96" s="11" t="s">
        <v>1</v>
      </c>
      <c r="I96" s="35" t="s">
        <v>159</v>
      </c>
    </row>
    <row r="97" spans="2:11" x14ac:dyDescent="0.25">
      <c r="C97" s="9" t="s">
        <v>354</v>
      </c>
      <c r="D97" s="10">
        <f>D14+2*D84</f>
        <v>1076</v>
      </c>
      <c r="E97" s="11" t="s">
        <v>1</v>
      </c>
    </row>
    <row r="98" spans="2:11" x14ac:dyDescent="0.25">
      <c r="C98" s="13" t="s">
        <v>355</v>
      </c>
      <c r="D98" s="14">
        <f>(D9+D12)-D15+D42-D28</f>
        <v>593.25</v>
      </c>
      <c r="E98" s="15" t="s">
        <v>1</v>
      </c>
    </row>
    <row r="100" spans="2:11" x14ac:dyDescent="0.25">
      <c r="B100" s="29" t="s">
        <v>71</v>
      </c>
      <c r="D100" s="26"/>
    </row>
    <row r="101" spans="2:11" x14ac:dyDescent="0.25">
      <c r="C101" s="6" t="s">
        <v>206</v>
      </c>
      <c r="D101" s="7">
        <v>204</v>
      </c>
      <c r="E101" s="8" t="s">
        <v>1</v>
      </c>
      <c r="F101" s="11"/>
      <c r="I101" s="35" t="s">
        <v>185</v>
      </c>
      <c r="J101" s="71" t="s">
        <v>223</v>
      </c>
    </row>
    <row r="102" spans="2:11" x14ac:dyDescent="0.25">
      <c r="C102" s="9" t="s">
        <v>209</v>
      </c>
      <c r="D102" s="18">
        <v>1.6</v>
      </c>
      <c r="E102" s="11" t="s">
        <v>1</v>
      </c>
      <c r="I102" s="35" t="s">
        <v>210</v>
      </c>
      <c r="J102" s="71" t="s">
        <v>223</v>
      </c>
    </row>
    <row r="103" spans="2:11" x14ac:dyDescent="0.25">
      <c r="C103" s="9" t="s">
        <v>207</v>
      </c>
      <c r="D103" s="39">
        <f>D101-2*D102</f>
        <v>200.8</v>
      </c>
      <c r="E103" s="11" t="s">
        <v>1</v>
      </c>
      <c r="I103" s="35" t="s">
        <v>208</v>
      </c>
      <c r="J103" s="71" t="s">
        <v>223</v>
      </c>
    </row>
    <row r="104" spans="2:11" x14ac:dyDescent="0.25">
      <c r="C104" s="9" t="s">
        <v>351</v>
      </c>
      <c r="D104" s="39">
        <f>1.45*D101</f>
        <v>295.8</v>
      </c>
      <c r="E104" s="11" t="s">
        <v>1</v>
      </c>
      <c r="J104" s="71"/>
    </row>
    <row r="105" spans="2:11" x14ac:dyDescent="0.25">
      <c r="C105" s="9" t="s">
        <v>352</v>
      </c>
      <c r="D105" s="39">
        <f>1.12*D101</f>
        <v>228.48000000000002</v>
      </c>
      <c r="E105" s="11" t="s">
        <v>1</v>
      </c>
      <c r="J105" s="71"/>
    </row>
    <row r="106" spans="2:11" x14ac:dyDescent="0.25">
      <c r="C106" s="13" t="s">
        <v>275</v>
      </c>
      <c r="D106" s="59">
        <f>D186</f>
        <v>2.5203069440019457</v>
      </c>
      <c r="E106" s="15" t="s">
        <v>52</v>
      </c>
      <c r="I106" s="68" t="s">
        <v>128</v>
      </c>
    </row>
    <row r="107" spans="2:11" x14ac:dyDescent="0.25">
      <c r="D107" s="43"/>
    </row>
    <row r="108" spans="2:11" x14ac:dyDescent="0.25">
      <c r="B108" s="29" t="s">
        <v>241</v>
      </c>
      <c r="D108" s="10"/>
      <c r="H108" s="26"/>
    </row>
    <row r="109" spans="2:11" x14ac:dyDescent="0.25">
      <c r="B109" s="28"/>
      <c r="C109" s="6" t="s">
        <v>273</v>
      </c>
      <c r="D109" s="16">
        <f>D40</f>
        <v>350</v>
      </c>
      <c r="E109" s="8" t="s">
        <v>1</v>
      </c>
      <c r="H109" s="26"/>
      <c r="I109" s="35" t="s">
        <v>168</v>
      </c>
      <c r="J109" s="71" t="s">
        <v>223</v>
      </c>
    </row>
    <row r="110" spans="2:11" x14ac:dyDescent="0.25">
      <c r="B110" s="28"/>
      <c r="C110" s="9" t="s">
        <v>240</v>
      </c>
      <c r="D110" s="10">
        <f>D39</f>
        <v>85</v>
      </c>
      <c r="E110" s="11" t="s">
        <v>1</v>
      </c>
      <c r="H110" s="26"/>
      <c r="I110" s="35" t="s">
        <v>146</v>
      </c>
      <c r="J110" s="71" t="s">
        <v>223</v>
      </c>
      <c r="K110" s="76"/>
    </row>
    <row r="111" spans="2:11" ht="17.25" x14ac:dyDescent="0.25">
      <c r="B111" s="28"/>
      <c r="C111" s="9" t="s">
        <v>274</v>
      </c>
      <c r="D111" s="10">
        <f>D113/D112</f>
        <v>5047.6848042676047</v>
      </c>
      <c r="E111" s="11" t="s">
        <v>90</v>
      </c>
      <c r="H111" s="26"/>
      <c r="I111" s="35" t="s">
        <v>163</v>
      </c>
      <c r="J111" s="71" t="s">
        <v>223</v>
      </c>
    </row>
    <row r="112" spans="2:11" x14ac:dyDescent="0.25">
      <c r="B112" s="28"/>
      <c r="C112" s="9" t="s">
        <v>297</v>
      </c>
      <c r="D112" s="10">
        <f>D65-1</f>
        <v>6</v>
      </c>
      <c r="E112" s="11"/>
      <c r="H112" s="26"/>
      <c r="I112" s="35" t="s">
        <v>166</v>
      </c>
      <c r="J112" s="71" t="s">
        <v>223</v>
      </c>
    </row>
    <row r="113" spans="2:13" ht="17.25" x14ac:dyDescent="0.25">
      <c r="B113" s="28"/>
      <c r="C113" s="9" t="s">
        <v>298</v>
      </c>
      <c r="D113" s="10">
        <f>D77*D60*D112</f>
        <v>30286.108825605628</v>
      </c>
      <c r="E113" s="11" t="s">
        <v>90</v>
      </c>
      <c r="H113" s="26"/>
      <c r="I113" s="35" t="s">
        <v>162</v>
      </c>
      <c r="J113" s="71" t="s">
        <v>223</v>
      </c>
    </row>
    <row r="114" spans="2:13" x14ac:dyDescent="0.25">
      <c r="B114" s="28"/>
      <c r="C114" s="13" t="s">
        <v>124</v>
      </c>
      <c r="D114" s="14">
        <f>SQRT(D111/PI())*2</f>
        <v>80.168022940273914</v>
      </c>
      <c r="E114" s="15" t="s">
        <v>1</v>
      </c>
      <c r="H114" s="26"/>
      <c r="I114" s="35" t="s">
        <v>150</v>
      </c>
      <c r="J114" s="71" t="s">
        <v>223</v>
      </c>
    </row>
    <row r="115" spans="2:13" x14ac:dyDescent="0.25">
      <c r="D115"/>
    </row>
    <row r="116" spans="2:13" x14ac:dyDescent="0.25">
      <c r="B116" s="29" t="s">
        <v>115</v>
      </c>
    </row>
    <row r="117" spans="2:13" ht="17.25" x14ac:dyDescent="0.25">
      <c r="C117" s="6" t="s">
        <v>247</v>
      </c>
      <c r="D117" s="16">
        <f>(D16/20)^2*PI()</f>
        <v>7791.2754446088293</v>
      </c>
      <c r="E117" s="8" t="s">
        <v>2</v>
      </c>
      <c r="G117" t="s">
        <v>248</v>
      </c>
      <c r="J117" s="71" t="s">
        <v>223</v>
      </c>
    </row>
    <row r="118" spans="2:13" x14ac:dyDescent="0.25">
      <c r="C118" s="9" t="s">
        <v>5</v>
      </c>
      <c r="D118" s="10">
        <f>D16*PI()</f>
        <v>3129.0262829754338</v>
      </c>
      <c r="E118" s="11" t="s">
        <v>1</v>
      </c>
      <c r="G118" t="s">
        <v>91</v>
      </c>
      <c r="J118" s="71" t="s">
        <v>223</v>
      </c>
      <c r="M118" s="3"/>
    </row>
    <row r="119" spans="2:13" x14ac:dyDescent="0.25">
      <c r="C119" s="9" t="s">
        <v>276</v>
      </c>
      <c r="D119" s="12">
        <v>60</v>
      </c>
      <c r="E119" s="11" t="s">
        <v>4</v>
      </c>
      <c r="G119" t="s">
        <v>251</v>
      </c>
      <c r="J119" s="71" t="s">
        <v>223</v>
      </c>
    </row>
    <row r="120" spans="2:13" ht="17.25" x14ac:dyDescent="0.25">
      <c r="C120" s="9" t="s">
        <v>249</v>
      </c>
      <c r="D120" s="10">
        <f>D118*D119/1000*((D18-D15-D24)/10)+D117</f>
        <v>16672.390743577998</v>
      </c>
      <c r="E120" s="11" t="s">
        <v>2</v>
      </c>
      <c r="G120" t="str">
        <f>"Bottom area plus side heated at the nominal rate over "&amp;D119&amp;"% of the available area."</f>
        <v>Bottom area plus side heated at the nominal rate over 60% of the available area.</v>
      </c>
      <c r="J120" s="71" t="s">
        <v>223</v>
      </c>
      <c r="L120" s="29"/>
    </row>
    <row r="121" spans="2:13" ht="17.25" x14ac:dyDescent="0.25">
      <c r="C121" s="9" t="s">
        <v>6</v>
      </c>
      <c r="D121" s="18">
        <v>2</v>
      </c>
      <c r="E121" s="11" t="s">
        <v>277</v>
      </c>
      <c r="G121" t="s">
        <v>250</v>
      </c>
      <c r="J121" s="71" t="s">
        <v>223</v>
      </c>
    </row>
    <row r="122" spans="2:13" x14ac:dyDescent="0.25">
      <c r="C122" s="9" t="s">
        <v>7</v>
      </c>
      <c r="D122" s="10">
        <f>D121*D120</f>
        <v>33344.781487155997</v>
      </c>
      <c r="E122" s="11" t="s">
        <v>8</v>
      </c>
      <c r="G122" t="s">
        <v>92</v>
      </c>
      <c r="J122" s="71" t="s">
        <v>223</v>
      </c>
    </row>
    <row r="123" spans="2:13" x14ac:dyDescent="0.25">
      <c r="C123" s="9" t="s">
        <v>9</v>
      </c>
      <c r="D123" s="12">
        <v>90</v>
      </c>
      <c r="E123" s="11" t="s">
        <v>4</v>
      </c>
      <c r="J123" s="71" t="s">
        <v>223</v>
      </c>
    </row>
    <row r="124" spans="2:13" x14ac:dyDescent="0.25">
      <c r="C124" s="9" t="s">
        <v>10</v>
      </c>
      <c r="D124" s="10">
        <f>D123/100*D10</f>
        <v>483.02037113363593</v>
      </c>
      <c r="E124" s="11" t="s">
        <v>3</v>
      </c>
      <c r="J124" s="71" t="s">
        <v>223</v>
      </c>
    </row>
    <row r="125" spans="2:13" x14ac:dyDescent="0.25">
      <c r="C125" s="9" t="s">
        <v>11</v>
      </c>
      <c r="D125" s="12">
        <v>25</v>
      </c>
      <c r="E125" s="30" t="s">
        <v>13</v>
      </c>
      <c r="J125" s="71" t="s">
        <v>223</v>
      </c>
    </row>
    <row r="126" spans="2:13" x14ac:dyDescent="0.25">
      <c r="C126" s="9" t="s">
        <v>12</v>
      </c>
      <c r="D126" s="12">
        <v>95</v>
      </c>
      <c r="E126" s="30" t="s">
        <v>13</v>
      </c>
      <c r="G126" t="s">
        <v>93</v>
      </c>
      <c r="J126" s="71" t="s">
        <v>223</v>
      </c>
      <c r="M126" s="3"/>
    </row>
    <row r="127" spans="2:13" x14ac:dyDescent="0.25">
      <c r="C127" s="9" t="s">
        <v>14</v>
      </c>
      <c r="D127" s="10">
        <f>D126-D125</f>
        <v>70</v>
      </c>
      <c r="E127" s="30" t="s">
        <v>13</v>
      </c>
      <c r="J127" s="71" t="s">
        <v>223</v>
      </c>
      <c r="M127" s="3"/>
    </row>
    <row r="128" spans="2:13" x14ac:dyDescent="0.25">
      <c r="C128" s="9" t="s">
        <v>15</v>
      </c>
      <c r="D128" s="21">
        <f>D124*4.186*D127/1000</f>
        <v>141.534629149578</v>
      </c>
      <c r="E128" s="30" t="s">
        <v>16</v>
      </c>
      <c r="J128" s="71" t="s">
        <v>223</v>
      </c>
      <c r="M128" s="3"/>
    </row>
    <row r="129" spans="2:13" x14ac:dyDescent="0.25">
      <c r="C129" s="9" t="s">
        <v>17</v>
      </c>
      <c r="D129" s="10">
        <f>D128*1000000/D122/60</f>
        <v>70.743018266139288</v>
      </c>
      <c r="E129" s="30" t="s">
        <v>18</v>
      </c>
      <c r="G129" t="s">
        <v>77</v>
      </c>
      <c r="J129" s="71" t="s">
        <v>223</v>
      </c>
    </row>
    <row r="130" spans="2:13" x14ac:dyDescent="0.25">
      <c r="C130" s="9" t="s">
        <v>19</v>
      </c>
      <c r="D130" s="12">
        <v>5</v>
      </c>
      <c r="E130" s="30" t="s">
        <v>4</v>
      </c>
      <c r="G130" t="s">
        <v>87</v>
      </c>
      <c r="J130" s="71" t="s">
        <v>223</v>
      </c>
      <c r="M130" s="3"/>
    </row>
    <row r="131" spans="2:13" x14ac:dyDescent="0.25">
      <c r="C131" s="13" t="s">
        <v>20</v>
      </c>
      <c r="D131" s="14">
        <f>D129*(100+D130)/100</f>
        <v>74.280169179446247</v>
      </c>
      <c r="E131" s="31" t="s">
        <v>18</v>
      </c>
      <c r="G131" t="str">
        <f>"Expected boiling time for "&amp;ROUND(D124,0)&amp;" litres."</f>
        <v>Expected boiling time for 483 litres.</v>
      </c>
      <c r="J131" s="71" t="s">
        <v>223</v>
      </c>
    </row>
    <row r="133" spans="2:13" x14ac:dyDescent="0.25">
      <c r="B133" s="29" t="s">
        <v>114</v>
      </c>
    </row>
    <row r="134" spans="2:13" x14ac:dyDescent="0.25">
      <c r="C134" s="6" t="s">
        <v>111</v>
      </c>
      <c r="D134" s="7">
        <v>37</v>
      </c>
      <c r="E134" s="8" t="s">
        <v>278</v>
      </c>
      <c r="G134" t="s">
        <v>103</v>
      </c>
      <c r="J134" s="71" t="s">
        <v>223</v>
      </c>
    </row>
    <row r="135" spans="2:13" x14ac:dyDescent="0.25">
      <c r="C135" s="9" t="s">
        <v>112</v>
      </c>
      <c r="D135" s="10">
        <f>D122/(D134/100)</f>
        <v>90121.031046367556</v>
      </c>
      <c r="E135" s="11" t="s">
        <v>8</v>
      </c>
      <c r="G135" t="s">
        <v>78</v>
      </c>
      <c r="J135" s="71" t="s">
        <v>223</v>
      </c>
      <c r="L135" t="s">
        <v>113</v>
      </c>
    </row>
    <row r="136" spans="2:13" x14ac:dyDescent="0.25">
      <c r="C136" s="9" t="s">
        <v>21</v>
      </c>
      <c r="D136" s="12">
        <v>99</v>
      </c>
      <c r="E136" s="11" t="s">
        <v>4</v>
      </c>
      <c r="G136" t="s">
        <v>79</v>
      </c>
      <c r="J136" s="71" t="s">
        <v>223</v>
      </c>
    </row>
    <row r="137" spans="2:13" x14ac:dyDescent="0.25">
      <c r="C137" s="13" t="s">
        <v>86</v>
      </c>
      <c r="D137" s="14">
        <f>D135*(D136/100)</f>
        <v>89219.820735903879</v>
      </c>
      <c r="E137" s="15" t="s">
        <v>8</v>
      </c>
      <c r="G137" t="s">
        <v>88</v>
      </c>
      <c r="J137" s="71" t="s">
        <v>223</v>
      </c>
    </row>
    <row r="138" spans="2:13" x14ac:dyDescent="0.25">
      <c r="D138" s="10"/>
    </row>
    <row r="139" spans="2:13" x14ac:dyDescent="0.25">
      <c r="B139" s="29" t="s">
        <v>116</v>
      </c>
      <c r="D139" s="10"/>
    </row>
    <row r="140" spans="2:13" x14ac:dyDescent="0.25">
      <c r="C140" s="6" t="s">
        <v>29</v>
      </c>
      <c r="D140" s="7" t="s">
        <v>30</v>
      </c>
      <c r="E140" s="8"/>
      <c r="F140" s="8"/>
      <c r="J140" s="71" t="s">
        <v>223</v>
      </c>
    </row>
    <row r="141" spans="2:13" x14ac:dyDescent="0.25">
      <c r="C141" s="9" t="s">
        <v>31</v>
      </c>
      <c r="D141" s="12">
        <v>14</v>
      </c>
      <c r="E141" s="11" t="s">
        <v>32</v>
      </c>
      <c r="F141" s="11"/>
      <c r="J141" s="71" t="s">
        <v>223</v>
      </c>
    </row>
    <row r="142" spans="2:13" x14ac:dyDescent="0.25">
      <c r="C142" s="9" t="s">
        <v>33</v>
      </c>
      <c r="D142" s="17">
        <v>20</v>
      </c>
      <c r="E142" s="11" t="s">
        <v>34</v>
      </c>
      <c r="F142" s="11"/>
      <c r="G142" t="s">
        <v>94</v>
      </c>
      <c r="J142" s="71" t="s">
        <v>223</v>
      </c>
    </row>
    <row r="143" spans="2:13" x14ac:dyDescent="0.25">
      <c r="C143" s="9" t="s">
        <v>28</v>
      </c>
      <c r="D143" s="17">
        <v>5.85</v>
      </c>
      <c r="E143" s="11" t="s">
        <v>4</v>
      </c>
      <c r="F143" s="11"/>
      <c r="G143" t="s">
        <v>95</v>
      </c>
      <c r="J143" s="71" t="s">
        <v>223</v>
      </c>
    </row>
    <row r="144" spans="2:13" ht="18" x14ac:dyDescent="0.35">
      <c r="C144" s="9" t="s">
        <v>35</v>
      </c>
      <c r="D144" s="18">
        <v>19.399999999999999</v>
      </c>
      <c r="E144" s="11" t="s">
        <v>4</v>
      </c>
      <c r="F144" s="11"/>
      <c r="G144" t="s">
        <v>80</v>
      </c>
      <c r="J144" s="71" t="s">
        <v>223</v>
      </c>
    </row>
    <row r="145" spans="2:12" x14ac:dyDescent="0.25">
      <c r="C145" s="9" t="s">
        <v>23</v>
      </c>
      <c r="D145" s="19">
        <f>D142-(D143/100*9*2.592)</f>
        <v>18.635311999999999</v>
      </c>
      <c r="E145" s="11" t="s">
        <v>24</v>
      </c>
      <c r="F145" s="11"/>
      <c r="J145" s="71" t="s">
        <v>223</v>
      </c>
    </row>
    <row r="146" spans="2:12" x14ac:dyDescent="0.25">
      <c r="C146" s="9" t="s">
        <v>25</v>
      </c>
      <c r="D146" s="19">
        <f>(D145*(1-D141/100))-(D141*0.02592)</f>
        <v>15.663488319999999</v>
      </c>
      <c r="E146" s="11" t="s">
        <v>25</v>
      </c>
      <c r="F146" s="11"/>
      <c r="J146" s="71" t="s">
        <v>223</v>
      </c>
    </row>
    <row r="147" spans="2:12" x14ac:dyDescent="0.25">
      <c r="C147" s="9" t="s">
        <v>26</v>
      </c>
      <c r="D147" s="18">
        <v>45.6</v>
      </c>
      <c r="E147" s="11" t="s">
        <v>4</v>
      </c>
      <c r="F147" s="11"/>
      <c r="G147" t="s">
        <v>246</v>
      </c>
      <c r="J147" s="71" t="s">
        <v>223</v>
      </c>
    </row>
    <row r="148" spans="2:12" ht="18" x14ac:dyDescent="0.35">
      <c r="C148" s="9" t="s">
        <v>27</v>
      </c>
      <c r="D148" s="19">
        <f>D147/100*((1-D141/100)/12*44)</f>
        <v>1.4379200000000001</v>
      </c>
      <c r="E148" s="11" t="s">
        <v>97</v>
      </c>
      <c r="F148" s="11"/>
      <c r="G148" t="s">
        <v>96</v>
      </c>
      <c r="J148" s="71" t="s">
        <v>223</v>
      </c>
    </row>
    <row r="149" spans="2:12" x14ac:dyDescent="0.25">
      <c r="C149" s="13" t="s">
        <v>22</v>
      </c>
      <c r="D149" s="20">
        <f>D137/(D146*1000000)*3600</f>
        <v>20.505735892760189</v>
      </c>
      <c r="E149" s="15" t="s">
        <v>39</v>
      </c>
      <c r="F149" s="15"/>
      <c r="J149" s="71" t="s">
        <v>223</v>
      </c>
    </row>
    <row r="150" spans="2:12" x14ac:dyDescent="0.25">
      <c r="D150" s="2"/>
    </row>
    <row r="151" spans="2:12" x14ac:dyDescent="0.25">
      <c r="B151" s="29" t="s">
        <v>117</v>
      </c>
      <c r="D151" s="2"/>
    </row>
    <row r="152" spans="2:12" x14ac:dyDescent="0.25">
      <c r="C152" s="6" t="s">
        <v>48</v>
      </c>
      <c r="D152" s="23"/>
      <c r="E152" s="8"/>
      <c r="F152" s="8"/>
    </row>
    <row r="153" spans="2:12" ht="17.25" x14ac:dyDescent="0.25">
      <c r="C153" s="9" t="s">
        <v>40</v>
      </c>
      <c r="D153" s="17">
        <v>3.56</v>
      </c>
      <c r="E153" s="11" t="s">
        <v>37</v>
      </c>
      <c r="F153" s="11"/>
      <c r="G153" t="s">
        <v>242</v>
      </c>
      <c r="J153" s="71" t="s">
        <v>223</v>
      </c>
    </row>
    <row r="154" spans="2:12" x14ac:dyDescent="0.25">
      <c r="C154" s="9" t="s">
        <v>41</v>
      </c>
      <c r="D154" s="17">
        <v>4.0999999999999996</v>
      </c>
      <c r="E154" s="11" t="s">
        <v>38</v>
      </c>
      <c r="F154" s="11"/>
      <c r="J154" s="71" t="s">
        <v>223</v>
      </c>
    </row>
    <row r="155" spans="2:12" x14ac:dyDescent="0.25">
      <c r="C155" s="9" t="s">
        <v>36</v>
      </c>
      <c r="D155" s="12">
        <v>100</v>
      </c>
      <c r="E155" s="11" t="s">
        <v>4</v>
      </c>
      <c r="F155" s="11"/>
      <c r="J155" s="71" t="s">
        <v>223</v>
      </c>
    </row>
    <row r="156" spans="2:12" ht="17.25" x14ac:dyDescent="0.25">
      <c r="C156" s="9" t="s">
        <v>47</v>
      </c>
      <c r="D156" s="19">
        <f>D154*D155/100+D153</f>
        <v>7.66</v>
      </c>
      <c r="E156" s="11" t="s">
        <v>42</v>
      </c>
      <c r="F156" s="11"/>
      <c r="J156" s="71" t="s">
        <v>223</v>
      </c>
    </row>
    <row r="157" spans="2:12" ht="17.25" x14ac:dyDescent="0.25">
      <c r="C157" s="9" t="s">
        <v>46</v>
      </c>
      <c r="D157" s="19">
        <f>D154+D154*D155/100</f>
        <v>8.1999999999999993</v>
      </c>
      <c r="E157" s="11" t="s">
        <v>42</v>
      </c>
      <c r="F157" s="11"/>
      <c r="G157" t="s">
        <v>81</v>
      </c>
      <c r="J157" s="71" t="s">
        <v>223</v>
      </c>
    </row>
    <row r="158" spans="2:12" ht="17.25" x14ac:dyDescent="0.25">
      <c r="C158" s="9" t="s">
        <v>45</v>
      </c>
      <c r="D158" s="21">
        <f>D156*D149</f>
        <v>157.07393693854306</v>
      </c>
      <c r="E158" s="11" t="s">
        <v>43</v>
      </c>
      <c r="F158" s="11"/>
      <c r="J158" s="71" t="s">
        <v>223</v>
      </c>
      <c r="L158" s="80" t="s">
        <v>339</v>
      </c>
    </row>
    <row r="159" spans="2:12" ht="17.25" x14ac:dyDescent="0.25">
      <c r="C159" s="13" t="s">
        <v>44</v>
      </c>
      <c r="D159" s="22">
        <f>D157*D149</f>
        <v>168.14703432063354</v>
      </c>
      <c r="E159" s="15" t="s">
        <v>43</v>
      </c>
      <c r="F159" s="33" t="str">
        <f>ROUND(D159*1000/3600, 1)&amp;" L/sec"</f>
        <v>46.7 L/sec</v>
      </c>
      <c r="G159" s="9"/>
      <c r="J159" s="71" t="s">
        <v>223</v>
      </c>
    </row>
    <row r="160" spans="2:12" x14ac:dyDescent="0.25">
      <c r="F160" s="11"/>
    </row>
    <row r="161" spans="2:14" x14ac:dyDescent="0.25">
      <c r="B161" s="29" t="s">
        <v>118</v>
      </c>
      <c r="D161"/>
      <c r="F161" s="11"/>
    </row>
    <row r="162" spans="2:14" x14ac:dyDescent="0.25">
      <c r="C162" s="6" t="s">
        <v>49</v>
      </c>
      <c r="D162" s="40">
        <f>D158*1000/3600</f>
        <v>43.63164914959529</v>
      </c>
      <c r="E162" s="8" t="s">
        <v>50</v>
      </c>
      <c r="F162" s="11"/>
      <c r="J162" s="71" t="s">
        <v>223</v>
      </c>
    </row>
    <row r="163" spans="2:14" x14ac:dyDescent="0.25">
      <c r="C163" s="9" t="s">
        <v>51</v>
      </c>
      <c r="D163" s="12">
        <v>900</v>
      </c>
      <c r="E163" s="30" t="s">
        <v>13</v>
      </c>
      <c r="F163" s="48" t="s">
        <v>82</v>
      </c>
      <c r="J163" s="71" t="s">
        <v>223</v>
      </c>
      <c r="M163" s="4" t="s">
        <v>100</v>
      </c>
    </row>
    <row r="164" spans="2:14" ht="17.25" x14ac:dyDescent="0.25">
      <c r="C164" s="9" t="str">
        <f>"Density at "&amp;D163&amp;"°C"</f>
        <v>Density at 900°C</v>
      </c>
      <c r="D164" s="24">
        <v>0.3009</v>
      </c>
      <c r="E164" s="30" t="s">
        <v>53</v>
      </c>
      <c r="F164" s="11"/>
      <c r="I164" s="35" t="s">
        <v>58</v>
      </c>
      <c r="J164" s="71" t="s">
        <v>223</v>
      </c>
      <c r="M164" s="4" t="s">
        <v>58</v>
      </c>
      <c r="N164" t="s">
        <v>59</v>
      </c>
    </row>
    <row r="165" spans="2:14" ht="17.25" x14ac:dyDescent="0.25">
      <c r="B165" s="28" t="s">
        <v>356</v>
      </c>
      <c r="C165" s="9" t="s">
        <v>74</v>
      </c>
      <c r="D165" s="10">
        <f>D159/D164</f>
        <v>558.81367338196594</v>
      </c>
      <c r="E165" s="11" t="s">
        <v>43</v>
      </c>
      <c r="F165" s="11"/>
      <c r="H165" t="s">
        <v>62</v>
      </c>
      <c r="I165" s="65">
        <v>900</v>
      </c>
      <c r="J165" s="5" t="s">
        <v>13</v>
      </c>
      <c r="M165" s="38">
        <v>1000</v>
      </c>
      <c r="N165" s="25">
        <v>0.27729999999999999</v>
      </c>
    </row>
    <row r="166" spans="2:14" x14ac:dyDescent="0.25">
      <c r="C166" s="9" t="s">
        <v>75</v>
      </c>
      <c r="D166" s="10">
        <f>D165/3.6</f>
        <v>155.22602038387942</v>
      </c>
      <c r="E166" s="11" t="s">
        <v>57</v>
      </c>
      <c r="F166" s="11"/>
      <c r="H166" t="s">
        <v>63</v>
      </c>
      <c r="I166" s="65">
        <v>350</v>
      </c>
      <c r="J166" s="5" t="s">
        <v>13</v>
      </c>
      <c r="M166" s="38">
        <v>900</v>
      </c>
      <c r="N166" s="25">
        <v>0.3009</v>
      </c>
    </row>
    <row r="167" spans="2:14" x14ac:dyDescent="0.25">
      <c r="C167" s="9" t="s">
        <v>340</v>
      </c>
      <c r="D167" s="19">
        <f>D166/(D77/1000*D80)</f>
        <v>1.3707636686394191</v>
      </c>
      <c r="E167" s="11" t="s">
        <v>52</v>
      </c>
      <c r="F167" s="11"/>
      <c r="H167" t="s">
        <v>64</v>
      </c>
      <c r="I167" s="35">
        <f>I165-I166</f>
        <v>550</v>
      </c>
      <c r="J167" s="5" t="s">
        <v>13</v>
      </c>
      <c r="M167" s="38">
        <v>800</v>
      </c>
      <c r="N167" s="25">
        <v>0.32890000000000003</v>
      </c>
    </row>
    <row r="168" spans="2:14" x14ac:dyDescent="0.25">
      <c r="C168" s="9" t="s">
        <v>99</v>
      </c>
      <c r="D168" s="10">
        <f>D96</f>
        <v>117.77931209957744</v>
      </c>
      <c r="E168" s="11" t="s">
        <v>1</v>
      </c>
      <c r="F168" s="11"/>
      <c r="H168" t="s">
        <v>102</v>
      </c>
      <c r="I168" s="66">
        <v>0.33500000000000002</v>
      </c>
      <c r="J168" s="5" t="s">
        <v>122</v>
      </c>
      <c r="M168" s="38">
        <v>700</v>
      </c>
      <c r="N168" s="25">
        <v>0.36259999999999998</v>
      </c>
    </row>
    <row r="169" spans="2:14" x14ac:dyDescent="0.25">
      <c r="C169" s="9" t="s">
        <v>341</v>
      </c>
      <c r="D169" s="20">
        <f>D165/3600/(D231/1000*(D96/1000))</f>
        <v>2.2628978848829515</v>
      </c>
      <c r="E169" s="15" t="str">
        <f>"m/sec (@ "&amp;D163&amp;" C)"</f>
        <v>m/sec (@ 900 C)</v>
      </c>
      <c r="F169" s="15"/>
      <c r="H169" t="s">
        <v>65</v>
      </c>
      <c r="I169" s="67">
        <f>I168*I167</f>
        <v>184.25</v>
      </c>
      <c r="J169" s="5" t="s">
        <v>13</v>
      </c>
      <c r="M169" s="34">
        <v>600</v>
      </c>
      <c r="N169" s="15">
        <v>0.40429999999999999</v>
      </c>
    </row>
    <row r="170" spans="2:14" x14ac:dyDescent="0.25">
      <c r="B170" s="28" t="s">
        <v>60</v>
      </c>
      <c r="C170" s="9" t="s">
        <v>98</v>
      </c>
      <c r="D170" s="12">
        <v>535</v>
      </c>
      <c r="E170" s="30" t="s">
        <v>13</v>
      </c>
      <c r="H170" t="s">
        <v>101</v>
      </c>
      <c r="I170" s="67">
        <f>I169+I166</f>
        <v>534.25</v>
      </c>
      <c r="J170" s="5" t="s">
        <v>13</v>
      </c>
      <c r="M170" s="38">
        <v>535</v>
      </c>
      <c r="N170" s="25">
        <f>N171-(M170-M171)/(M169-M171)*(N171-N169)</f>
        <v>0.43835999999999997</v>
      </c>
    </row>
    <row r="171" spans="2:14" x14ac:dyDescent="0.25">
      <c r="C171" s="9" t="s">
        <v>76</v>
      </c>
      <c r="D171" s="24">
        <v>0.43840000000000001</v>
      </c>
      <c r="E171" s="30" t="s">
        <v>61</v>
      </c>
      <c r="F171" s="8"/>
      <c r="H171" t="s">
        <v>66</v>
      </c>
      <c r="J171" s="71" t="s">
        <v>223</v>
      </c>
      <c r="M171" s="38">
        <v>500</v>
      </c>
      <c r="N171" s="25">
        <v>0.45669999999999999</v>
      </c>
    </row>
    <row r="172" spans="2:14" ht="17.25" x14ac:dyDescent="0.25">
      <c r="C172" s="9" t="s">
        <v>54</v>
      </c>
      <c r="D172" s="10">
        <f>D165*(D164/D171)</f>
        <v>383.54706733721156</v>
      </c>
      <c r="E172" s="11" t="s">
        <v>43</v>
      </c>
      <c r="F172" s="48" t="s">
        <v>83</v>
      </c>
      <c r="H172" t="s">
        <v>67</v>
      </c>
      <c r="J172" s="71" t="s">
        <v>223</v>
      </c>
      <c r="M172" s="38">
        <v>350</v>
      </c>
      <c r="N172" s="37">
        <v>0.56699999999999995</v>
      </c>
    </row>
    <row r="173" spans="2:14" x14ac:dyDescent="0.25">
      <c r="C173" s="9" t="s">
        <v>55</v>
      </c>
      <c r="D173" s="10">
        <f>D172/3600*1000</f>
        <v>106.54085203811432</v>
      </c>
      <c r="E173" s="11" t="s">
        <v>57</v>
      </c>
      <c r="F173" s="11"/>
      <c r="J173" s="71" t="s">
        <v>223</v>
      </c>
      <c r="M173" s="38">
        <v>225</v>
      </c>
      <c r="N173" s="37">
        <v>0.70799999999999996</v>
      </c>
    </row>
    <row r="174" spans="2:14" x14ac:dyDescent="0.25">
      <c r="C174" s="9" t="s">
        <v>357</v>
      </c>
      <c r="D174" s="10">
        <f>D93</f>
        <v>50.666483451143428</v>
      </c>
      <c r="E174" s="11" t="s">
        <v>1</v>
      </c>
      <c r="F174" s="11"/>
      <c r="J174" s="71" t="s">
        <v>223</v>
      </c>
    </row>
    <row r="175" spans="2:14" x14ac:dyDescent="0.25">
      <c r="C175" s="9" t="s">
        <v>68</v>
      </c>
      <c r="D175" s="19">
        <f>D172/(D118/1000*(D174/1000))/3600</f>
        <v>0.67202617944082588</v>
      </c>
      <c r="E175" s="11" t="s">
        <v>52</v>
      </c>
      <c r="F175" s="11"/>
      <c r="J175" s="71" t="s">
        <v>223</v>
      </c>
    </row>
    <row r="176" spans="2:14" x14ac:dyDescent="0.25">
      <c r="C176" s="9" t="s">
        <v>243</v>
      </c>
      <c r="D176" s="21">
        <f>D84</f>
        <v>40</v>
      </c>
      <c r="E176" s="11" t="s">
        <v>1</v>
      </c>
      <c r="F176" s="11"/>
      <c r="J176" s="71" t="s">
        <v>223</v>
      </c>
    </row>
    <row r="177" spans="2:11" x14ac:dyDescent="0.25">
      <c r="C177" s="13" t="s">
        <v>69</v>
      </c>
      <c r="D177" s="27">
        <f>(D172/3600)/((((D16+2*D176)/2)^2*PI()/1000000)-((D16/2)^2*PI()/1000000))</f>
        <v>0.81836405613359697</v>
      </c>
      <c r="E177" s="15" t="s">
        <v>52</v>
      </c>
      <c r="F177" s="58"/>
      <c r="J177" s="71" t="s">
        <v>223</v>
      </c>
    </row>
    <row r="179" spans="2:11" x14ac:dyDescent="0.25">
      <c r="B179" s="53" t="s">
        <v>127</v>
      </c>
    </row>
    <row r="180" spans="2:11" x14ac:dyDescent="0.25">
      <c r="B180" s="28" t="s">
        <v>342</v>
      </c>
      <c r="C180" s="6" t="s">
        <v>70</v>
      </c>
      <c r="D180" s="7">
        <v>350</v>
      </c>
      <c r="E180" s="44" t="s">
        <v>121</v>
      </c>
      <c r="F180" s="52" t="s">
        <v>84</v>
      </c>
      <c r="J180" s="71" t="s">
        <v>223</v>
      </c>
    </row>
    <row r="181" spans="2:11" x14ac:dyDescent="0.25">
      <c r="C181" s="9" t="s">
        <v>76</v>
      </c>
      <c r="D181" s="24">
        <v>0.56699999999999995</v>
      </c>
      <c r="E181" s="30" t="s">
        <v>61</v>
      </c>
      <c r="F181" s="11"/>
      <c r="J181" s="71" t="s">
        <v>223</v>
      </c>
      <c r="K181" t="s">
        <v>289</v>
      </c>
    </row>
    <row r="182" spans="2:11" x14ac:dyDescent="0.25">
      <c r="C182" s="9" t="s">
        <v>72</v>
      </c>
      <c r="D182" s="39">
        <f>D164/D181*D166</f>
        <v>82.376560023825959</v>
      </c>
      <c r="E182" s="30" t="s">
        <v>56</v>
      </c>
      <c r="F182" s="11"/>
      <c r="J182" s="71" t="s">
        <v>223</v>
      </c>
    </row>
    <row r="183" spans="2:11" x14ac:dyDescent="0.25">
      <c r="C183" s="9" t="s">
        <v>244</v>
      </c>
      <c r="D183" s="10">
        <f>D101</f>
        <v>204</v>
      </c>
      <c r="E183" s="30" t="s">
        <v>1</v>
      </c>
      <c r="F183" s="11"/>
      <c r="J183" s="71" t="s">
        <v>223</v>
      </c>
    </row>
    <row r="184" spans="2:11" x14ac:dyDescent="0.25">
      <c r="C184" s="9" t="s">
        <v>245</v>
      </c>
      <c r="D184" s="10">
        <f>1.84*D183</f>
        <v>375.36</v>
      </c>
      <c r="E184" s="30" t="s">
        <v>1</v>
      </c>
      <c r="F184" s="11"/>
      <c r="J184" s="71" t="s">
        <v>223</v>
      </c>
    </row>
    <row r="185" spans="2:11" x14ac:dyDescent="0.25">
      <c r="C185" s="9" t="s">
        <v>343</v>
      </c>
      <c r="D185" s="19">
        <f>(D182/1000)/((D183/1000*25/1000)*2+(D184/1000*25/1000)*2)</f>
        <v>2.8437089210102857</v>
      </c>
      <c r="E185" s="11" t="s">
        <v>52</v>
      </c>
      <c r="F185" s="11"/>
      <c r="J185" s="71" t="s">
        <v>223</v>
      </c>
    </row>
    <row r="186" spans="2:11" x14ac:dyDescent="0.25">
      <c r="C186" s="13" t="str">
        <f>"Gas velocity in chimney @ "&amp;D180&amp;"°"</f>
        <v>Gas velocity in chimney @ 350°</v>
      </c>
      <c r="D186" s="20">
        <f>D182/(((D101/100)/2)^2*PI())/10</f>
        <v>2.5203069440019457</v>
      </c>
      <c r="E186" s="15" t="str">
        <f>"m/sec at "&amp;ROUND(D137/1000,1)&amp;" kW"</f>
        <v>m/sec at 89.2 kW</v>
      </c>
      <c r="F186" s="15"/>
      <c r="J186" s="71" t="s">
        <v>223</v>
      </c>
    </row>
    <row r="187" spans="2:11" x14ac:dyDescent="0.25">
      <c r="D187" s="2"/>
      <c r="J187" s="71" t="s">
        <v>223</v>
      </c>
      <c r="K187" s="4" t="s">
        <v>73</v>
      </c>
    </row>
    <row r="188" spans="2:11" x14ac:dyDescent="0.25">
      <c r="B188" s="29" t="s">
        <v>195</v>
      </c>
    </row>
    <row r="189" spans="2:11" x14ac:dyDescent="0.25">
      <c r="B189" s="29" t="s">
        <v>290</v>
      </c>
      <c r="C189" s="6" t="s">
        <v>281</v>
      </c>
      <c r="D189" s="16">
        <f>D57-D48</f>
        <v>114.42781549404114</v>
      </c>
      <c r="E189" s="8" t="s">
        <v>1</v>
      </c>
      <c r="I189" s="35" t="s">
        <v>180</v>
      </c>
    </row>
    <row r="190" spans="2:11" x14ac:dyDescent="0.25">
      <c r="B190" s="29"/>
      <c r="C190" s="9" t="s">
        <v>292</v>
      </c>
      <c r="D190" s="10">
        <f>D53</f>
        <v>1504.5</v>
      </c>
      <c r="E190" s="11" t="s">
        <v>1</v>
      </c>
      <c r="I190" s="35" t="str">
        <f>I53</f>
        <v>L1</v>
      </c>
    </row>
    <row r="191" spans="2:11" x14ac:dyDescent="0.25">
      <c r="B191" s="29"/>
      <c r="C191" s="9" t="s">
        <v>291</v>
      </c>
      <c r="D191" s="10">
        <f>D52</f>
        <v>1504.5</v>
      </c>
      <c r="E191" s="11" t="s">
        <v>1</v>
      </c>
      <c r="I191" s="35" t="str">
        <f>I52</f>
        <v>W3</v>
      </c>
    </row>
    <row r="192" spans="2:11" x14ac:dyDescent="0.25">
      <c r="B192" s="29"/>
      <c r="C192" s="9" t="s">
        <v>293</v>
      </c>
      <c r="D192" s="10">
        <f>D58</f>
        <v>336.51232028450698</v>
      </c>
      <c r="E192" s="11" t="s">
        <v>1</v>
      </c>
      <c r="I192" s="79" t="str">
        <f>I58</f>
        <v>W12</v>
      </c>
    </row>
    <row r="193" spans="2:10" x14ac:dyDescent="0.25">
      <c r="C193" s="9" t="s">
        <v>279</v>
      </c>
      <c r="D193" s="10">
        <f>D190-D194</f>
        <v>583.99383985774648</v>
      </c>
      <c r="E193" s="11" t="s">
        <v>1</v>
      </c>
      <c r="I193" s="35" t="s">
        <v>189</v>
      </c>
    </row>
    <row r="194" spans="2:10" x14ac:dyDescent="0.25">
      <c r="C194" s="9" t="s">
        <v>186</v>
      </c>
      <c r="D194" s="10">
        <f>D53/2+D58/2</f>
        <v>920.50616014225352</v>
      </c>
      <c r="E194" s="11" t="s">
        <v>1</v>
      </c>
      <c r="I194" s="35" t="s">
        <v>190</v>
      </c>
    </row>
    <row r="195" spans="2:10" x14ac:dyDescent="0.25">
      <c r="C195" s="9" t="s">
        <v>187</v>
      </c>
      <c r="D195" s="10">
        <f>D53/2+D58/2+15-D109-D110</f>
        <v>500.50616014225352</v>
      </c>
      <c r="E195" s="11" t="s">
        <v>1</v>
      </c>
      <c r="I195" s="35" t="s">
        <v>191</v>
      </c>
      <c r="J195" t="s">
        <v>280</v>
      </c>
    </row>
    <row r="196" spans="2:10" x14ac:dyDescent="0.25">
      <c r="C196" s="9" t="s">
        <v>188</v>
      </c>
      <c r="D196" s="10">
        <f>D194-D195</f>
        <v>420</v>
      </c>
      <c r="E196" s="11" t="s">
        <v>1</v>
      </c>
      <c r="I196" s="35" t="s">
        <v>192</v>
      </c>
      <c r="J196" t="s">
        <v>280</v>
      </c>
    </row>
    <row r="197" spans="2:10" x14ac:dyDescent="0.25">
      <c r="C197" s="13" t="s">
        <v>193</v>
      </c>
      <c r="D197" s="14">
        <f>(D190-D58)/2</f>
        <v>583.99383985774648</v>
      </c>
      <c r="E197" s="15" t="s">
        <v>1</v>
      </c>
      <c r="I197" s="35" t="s">
        <v>194</v>
      </c>
    </row>
    <row r="199" spans="2:10" x14ac:dyDescent="0.25">
      <c r="B199" s="29" t="s">
        <v>199</v>
      </c>
    </row>
    <row r="200" spans="2:10" x14ac:dyDescent="0.25">
      <c r="B200" s="29" t="s">
        <v>290</v>
      </c>
      <c r="C200" s="6" t="s">
        <v>284</v>
      </c>
      <c r="D200" s="16">
        <f>D189+D39+D48-5</f>
        <v>209.42781549404114</v>
      </c>
      <c r="E200" s="8" t="s">
        <v>1</v>
      </c>
      <c r="I200" s="35" t="s">
        <v>176</v>
      </c>
    </row>
    <row r="201" spans="2:10" x14ac:dyDescent="0.25">
      <c r="C201" s="9" t="s">
        <v>295</v>
      </c>
      <c r="D201" s="10">
        <f>D200</f>
        <v>209.42781549404114</v>
      </c>
      <c r="E201" s="11" t="s">
        <v>1</v>
      </c>
      <c r="I201" s="35" t="s">
        <v>145</v>
      </c>
    </row>
    <row r="202" spans="2:10" x14ac:dyDescent="0.25">
      <c r="C202" s="9" t="s">
        <v>296</v>
      </c>
      <c r="D202" s="10">
        <f>D65*D38+(D65-1)*D60</f>
        <v>1021</v>
      </c>
      <c r="E202" s="11" t="s">
        <v>1</v>
      </c>
      <c r="I202" s="73" t="s">
        <v>196</v>
      </c>
      <c r="J202" t="s">
        <v>280</v>
      </c>
    </row>
    <row r="203" spans="2:10" x14ac:dyDescent="0.25">
      <c r="C203" s="9" t="s">
        <v>294</v>
      </c>
      <c r="D203" s="10">
        <f>D204+2*D41</f>
        <v>595.9</v>
      </c>
      <c r="E203" s="11" t="s">
        <v>1</v>
      </c>
      <c r="I203" s="73" t="s">
        <v>197</v>
      </c>
    </row>
    <row r="204" spans="2:10" x14ac:dyDescent="0.25">
      <c r="C204" s="13" t="s">
        <v>299</v>
      </c>
      <c r="D204" s="14">
        <f>D40+2*D48</f>
        <v>380</v>
      </c>
      <c r="E204" s="15" t="s">
        <v>1</v>
      </c>
      <c r="I204" s="73" t="s">
        <v>198</v>
      </c>
      <c r="J204" t="s">
        <v>280</v>
      </c>
    </row>
    <row r="206" spans="2:10" x14ac:dyDescent="0.25">
      <c r="B206" s="29" t="s">
        <v>200</v>
      </c>
    </row>
    <row r="207" spans="2:10" x14ac:dyDescent="0.25">
      <c r="B207" s="29" t="s">
        <v>290</v>
      </c>
      <c r="C207" s="6" t="s">
        <v>285</v>
      </c>
      <c r="D207" s="16">
        <f>D189+D200</f>
        <v>323.85563098808228</v>
      </c>
      <c r="E207" s="8" t="s">
        <v>1</v>
      </c>
      <c r="I207" s="35" t="s">
        <v>164</v>
      </c>
    </row>
    <row r="208" spans="2:10" x14ac:dyDescent="0.25">
      <c r="C208" s="9" t="s">
        <v>300</v>
      </c>
      <c r="D208" s="10">
        <f>D192+160</f>
        <v>496.51232028450698</v>
      </c>
      <c r="E208" s="11" t="s">
        <v>1</v>
      </c>
      <c r="I208" s="73" t="s">
        <v>201</v>
      </c>
      <c r="J208" t="s">
        <v>303</v>
      </c>
    </row>
    <row r="209" spans="2:9" x14ac:dyDescent="0.25">
      <c r="C209" s="9" t="s">
        <v>301</v>
      </c>
      <c r="D209" s="10">
        <f>D31+D48</f>
        <v>122.94999999999999</v>
      </c>
      <c r="E209" s="11" t="s">
        <v>1</v>
      </c>
      <c r="I209" s="73" t="s">
        <v>202</v>
      </c>
    </row>
    <row r="210" spans="2:9" x14ac:dyDescent="0.25">
      <c r="C210" s="9" t="s">
        <v>306</v>
      </c>
      <c r="D210" s="10">
        <f>D77</f>
        <v>336.51232028450698</v>
      </c>
      <c r="E210" s="11" t="s">
        <v>1</v>
      </c>
      <c r="I210" s="35" t="str">
        <f>I77</f>
        <v>W10</v>
      </c>
    </row>
    <row r="211" spans="2:9" x14ac:dyDescent="0.25">
      <c r="C211" s="13" t="s">
        <v>302</v>
      </c>
      <c r="D211" s="14">
        <f>D194</f>
        <v>920.50616014225352</v>
      </c>
      <c r="E211" s="15" t="s">
        <v>1</v>
      </c>
      <c r="I211" s="73" t="s">
        <v>203</v>
      </c>
    </row>
    <row r="213" spans="2:9" x14ac:dyDescent="0.25">
      <c r="B213" s="29" t="s">
        <v>204</v>
      </c>
    </row>
    <row r="214" spans="2:9" x14ac:dyDescent="0.25">
      <c r="B214" s="29" t="s">
        <v>290</v>
      </c>
      <c r="C214" s="6" t="s">
        <v>304</v>
      </c>
      <c r="D214" s="16">
        <f>D207+D189</f>
        <v>438.2834464821234</v>
      </c>
      <c r="E214" s="8" t="s">
        <v>1</v>
      </c>
      <c r="I214" s="35" t="s">
        <v>159</v>
      </c>
    </row>
    <row r="215" spans="2:9" x14ac:dyDescent="0.25">
      <c r="C215" s="9" t="s">
        <v>308</v>
      </c>
      <c r="D215" s="10">
        <f>D214-D200</f>
        <v>228.85563098808225</v>
      </c>
      <c r="E215" s="11" t="s">
        <v>1</v>
      </c>
    </row>
    <row r="216" spans="2:9" x14ac:dyDescent="0.25">
      <c r="C216" s="13" t="s">
        <v>300</v>
      </c>
      <c r="D216" s="14">
        <f>D208</f>
        <v>496.51232028450698</v>
      </c>
      <c r="E216" s="15" t="s">
        <v>1</v>
      </c>
      <c r="I216" s="73" t="s">
        <v>142</v>
      </c>
    </row>
    <row r="218" spans="2:9" x14ac:dyDescent="0.25">
      <c r="B218" s="29" t="s">
        <v>205</v>
      </c>
    </row>
    <row r="219" spans="2:9" x14ac:dyDescent="0.25">
      <c r="B219" s="29" t="s">
        <v>290</v>
      </c>
      <c r="C219" s="6" t="s">
        <v>307</v>
      </c>
      <c r="D219" s="16">
        <f>D214+D189-5</f>
        <v>547.71126197616456</v>
      </c>
      <c r="E219" s="8" t="s">
        <v>1</v>
      </c>
      <c r="I219" s="73" t="s">
        <v>142</v>
      </c>
    </row>
    <row r="220" spans="2:9" x14ac:dyDescent="0.25">
      <c r="B220" s="29"/>
      <c r="C220" s="9" t="s">
        <v>300</v>
      </c>
      <c r="D220" s="10">
        <f>D216-148</f>
        <v>348.51232028450698</v>
      </c>
      <c r="E220" s="11" t="s">
        <v>1</v>
      </c>
      <c r="I220" s="73" t="s">
        <v>142</v>
      </c>
    </row>
    <row r="221" spans="2:9" x14ac:dyDescent="0.25">
      <c r="B221" s="29"/>
      <c r="C221" s="9" t="str">
        <f>C204</f>
        <v>Width to accommodate U-channels</v>
      </c>
      <c r="D221" s="39">
        <f>D204</f>
        <v>380</v>
      </c>
      <c r="E221" s="11" t="s">
        <v>1</v>
      </c>
      <c r="I221" s="73" t="s">
        <v>142</v>
      </c>
    </row>
    <row r="222" spans="2:9" x14ac:dyDescent="0.25">
      <c r="B222" s="29"/>
      <c r="C222" s="9" t="s">
        <v>310</v>
      </c>
      <c r="D222" s="39">
        <f>D67</f>
        <v>583.99383985774648</v>
      </c>
      <c r="E222" s="11" t="s">
        <v>1</v>
      </c>
    </row>
    <row r="223" spans="2:9" x14ac:dyDescent="0.25">
      <c r="B223" s="29"/>
      <c r="C223" s="9" t="s">
        <v>319</v>
      </c>
      <c r="D223" s="39">
        <f>D215+3</f>
        <v>231.85563098808225</v>
      </c>
      <c r="E223" s="11" t="s">
        <v>1</v>
      </c>
    </row>
    <row r="224" spans="2:9" x14ac:dyDescent="0.25">
      <c r="B224" s="29"/>
      <c r="C224" s="9" t="s">
        <v>253</v>
      </c>
      <c r="D224" s="39">
        <f>D211-D222</f>
        <v>336.51232028450704</v>
      </c>
      <c r="E224" s="11" t="s">
        <v>1</v>
      </c>
    </row>
    <row r="225" spans="2:9" x14ac:dyDescent="0.25">
      <c r="B225" s="29"/>
      <c r="C225" s="13" t="s">
        <v>318</v>
      </c>
      <c r="D225" s="41">
        <f>D210</f>
        <v>336.51232028450698</v>
      </c>
      <c r="E225" s="15" t="s">
        <v>1</v>
      </c>
    </row>
    <row r="226" spans="2:9" x14ac:dyDescent="0.25">
      <c r="B226" s="29"/>
      <c r="D226" s="63"/>
    </row>
    <row r="227" spans="2:9" x14ac:dyDescent="0.25">
      <c r="B227" s="29" t="s">
        <v>305</v>
      </c>
    </row>
    <row r="228" spans="2:9" x14ac:dyDescent="0.25">
      <c r="B228" s="29" t="s">
        <v>290</v>
      </c>
      <c r="C228" s="6" t="s">
        <v>320</v>
      </c>
      <c r="D228" s="16">
        <f>D219+D189</f>
        <v>662.13907747020573</v>
      </c>
      <c r="E228" s="8" t="s">
        <v>1</v>
      </c>
    </row>
    <row r="229" spans="2:9" x14ac:dyDescent="0.25">
      <c r="C229" s="9" t="s">
        <v>321</v>
      </c>
      <c r="D229" s="10">
        <f>D228-D42+D41</f>
        <v>693.88907747020585</v>
      </c>
      <c r="E229" s="11" t="s">
        <v>1</v>
      </c>
      <c r="I229" s="35" t="s">
        <v>383</v>
      </c>
    </row>
    <row r="230" spans="2:9" x14ac:dyDescent="0.25">
      <c r="C230" s="9" t="s">
        <v>344</v>
      </c>
      <c r="D230" s="39"/>
      <c r="E230" s="11"/>
    </row>
    <row r="231" spans="2:9" x14ac:dyDescent="0.25">
      <c r="C231" s="9" t="s">
        <v>332</v>
      </c>
      <c r="D231" s="39">
        <f>D232+2*D41+2*D48</f>
        <v>582.41232028450702</v>
      </c>
      <c r="E231" s="11" t="s">
        <v>1</v>
      </c>
    </row>
    <row r="232" spans="2:9" x14ac:dyDescent="0.25">
      <c r="C232" s="9" t="s">
        <v>253</v>
      </c>
      <c r="D232" s="39">
        <f>D224</f>
        <v>336.51232028450704</v>
      </c>
      <c r="E232" s="11" t="s">
        <v>1</v>
      </c>
    </row>
    <row r="233" spans="2:9" x14ac:dyDescent="0.25">
      <c r="C233" s="9" t="s">
        <v>322</v>
      </c>
      <c r="D233" s="39">
        <f>D228-D200</f>
        <v>452.71126197616456</v>
      </c>
      <c r="E233" s="11" t="s">
        <v>1</v>
      </c>
    </row>
    <row r="234" spans="2:9" x14ac:dyDescent="0.25">
      <c r="C234" s="13" t="s">
        <v>323</v>
      </c>
      <c r="D234" s="41">
        <f>D233-D223+D41-D42</f>
        <v>252.60563098808228</v>
      </c>
      <c r="E234" s="15" t="s">
        <v>1</v>
      </c>
    </row>
    <row r="236" spans="2:9" x14ac:dyDescent="0.25">
      <c r="B236" s="29" t="s">
        <v>324</v>
      </c>
    </row>
    <row r="237" spans="2:9" x14ac:dyDescent="0.25">
      <c r="B237" s="29" t="s">
        <v>290</v>
      </c>
      <c r="C237" s="6" t="s">
        <v>325</v>
      </c>
      <c r="D237" s="16">
        <f>D228+D189</f>
        <v>776.5668929642469</v>
      </c>
      <c r="E237" s="8" t="s">
        <v>1</v>
      </c>
    </row>
    <row r="238" spans="2:9" x14ac:dyDescent="0.25">
      <c r="C238" s="9" t="s">
        <v>326</v>
      </c>
      <c r="D238" s="10">
        <f>D237+(D229-D228)</f>
        <v>808.31689296424702</v>
      </c>
      <c r="E238" s="11" t="s">
        <v>1</v>
      </c>
    </row>
    <row r="239" spans="2:9" x14ac:dyDescent="0.25">
      <c r="C239" s="9" t="s">
        <v>327</v>
      </c>
      <c r="D239" s="39">
        <f>D14+2*D84</f>
        <v>1076</v>
      </c>
      <c r="E239" s="11" t="s">
        <v>1</v>
      </c>
    </row>
    <row r="240" spans="2:9" x14ac:dyDescent="0.25">
      <c r="C240" s="9" t="s">
        <v>328</v>
      </c>
      <c r="D240" s="39">
        <f>(D34*1.08)*2+D239</f>
        <v>1273.2080000000001</v>
      </c>
      <c r="E240" s="11" t="s">
        <v>1</v>
      </c>
    </row>
    <row r="241" spans="2:5" x14ac:dyDescent="0.25">
      <c r="C241" s="13" t="s">
        <v>331</v>
      </c>
      <c r="D241" s="41">
        <f>D87-(2*D31)</f>
        <v>1288.5999999999999</v>
      </c>
      <c r="E241" s="15" t="s">
        <v>1</v>
      </c>
    </row>
    <row r="243" spans="2:5" x14ac:dyDescent="0.25">
      <c r="B243" s="29" t="s">
        <v>333</v>
      </c>
    </row>
    <row r="244" spans="2:5" x14ac:dyDescent="0.25">
      <c r="B244" s="29" t="s">
        <v>290</v>
      </c>
      <c r="C244" s="6" t="s">
        <v>334</v>
      </c>
      <c r="D244" s="16">
        <f>D237+5*(D189-5)-15</f>
        <v>1308.7059704344526</v>
      </c>
      <c r="E244" s="8" t="s">
        <v>1</v>
      </c>
    </row>
    <row r="245" spans="2:5" x14ac:dyDescent="0.25">
      <c r="C245" s="9" t="s">
        <v>345</v>
      </c>
      <c r="D245" s="10">
        <f>D237+5*(D189-5)</f>
        <v>1323.7059704344526</v>
      </c>
      <c r="E245" s="11" t="s">
        <v>1</v>
      </c>
    </row>
    <row r="246" spans="2:5" x14ac:dyDescent="0.25">
      <c r="C246" s="9" t="s">
        <v>346</v>
      </c>
      <c r="D246" s="10">
        <f>((D87-D23)/2)*SIN(0.063)+D245</f>
        <v>1338.8362431226119</v>
      </c>
      <c r="E246" s="11" t="s">
        <v>1</v>
      </c>
    </row>
    <row r="247" spans="2:5" x14ac:dyDescent="0.25">
      <c r="C247" s="13" t="s">
        <v>347</v>
      </c>
      <c r="D247" s="14">
        <f>D238+4*(D35+D48+1)</f>
        <v>1177.116892964247</v>
      </c>
      <c r="E247" s="15" t="s">
        <v>1</v>
      </c>
    </row>
  </sheetData>
  <conditionalFormatting sqref="L64">
    <cfRule type="cellIs" dxfId="1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97AEA-3650-46F7-B8AE-5C75D8E3A7C0}">
  <dimension ref="B2:O247"/>
  <sheetViews>
    <sheetView topLeftCell="A70" zoomScale="130" zoomScaleNormal="130" workbookViewId="0">
      <selection activeCell="C37" sqref="C37"/>
    </sheetView>
  </sheetViews>
  <sheetFormatPr defaultRowHeight="15" x14ac:dyDescent="0.25"/>
  <cols>
    <col min="1" max="1" width="6" customWidth="1"/>
    <col min="2" max="2" width="30" customWidth="1"/>
    <col min="3" max="3" width="35.42578125" customWidth="1"/>
    <col min="4" max="4" width="19.42578125" style="4" bestFit="1" customWidth="1"/>
    <col min="5" max="5" width="17" customWidth="1"/>
    <col min="6" max="6" width="11" hidden="1" customWidth="1"/>
    <col min="7" max="7" width="9.140625" hidden="1" customWidth="1"/>
    <col min="8" max="8" width="56.28515625" hidden="1" customWidth="1"/>
    <col min="9" max="9" width="8" style="35" customWidth="1"/>
    <col min="10" max="10" width="9.140625" customWidth="1"/>
    <col min="11" max="12" width="7.5703125" customWidth="1"/>
    <col min="13" max="13" width="29.28515625" style="4" customWidth="1"/>
  </cols>
  <sheetData>
    <row r="2" spans="2:11" ht="18.75" x14ac:dyDescent="0.3">
      <c r="B2" s="1" t="str">
        <f>ROUNDDOWN(D10/50,0)*50&amp;" Litre MEMD Stove"</f>
        <v>1000 Litre MEMD Stove</v>
      </c>
      <c r="C2" s="64" t="s">
        <v>217</v>
      </c>
      <c r="D2" s="35"/>
    </row>
    <row r="3" spans="2:11" ht="18.75" x14ac:dyDescent="0.3">
      <c r="B3" s="1"/>
      <c r="D3" s="35"/>
    </row>
    <row r="4" spans="2:11" x14ac:dyDescent="0.25">
      <c r="C4" t="s">
        <v>0</v>
      </c>
      <c r="D4" s="36">
        <v>45621</v>
      </c>
      <c r="E4" t="str">
        <f>Dimensions!F2</f>
        <v>Version 1.4</v>
      </c>
    </row>
    <row r="5" spans="2:11" x14ac:dyDescent="0.25">
      <c r="B5" s="69" t="s">
        <v>219</v>
      </c>
    </row>
    <row r="7" spans="2:11" x14ac:dyDescent="0.25">
      <c r="B7" s="29" t="s">
        <v>212</v>
      </c>
      <c r="D7"/>
      <c r="I7" s="35" t="s">
        <v>218</v>
      </c>
    </row>
    <row r="8" spans="2:11" x14ac:dyDescent="0.25">
      <c r="C8" s="6" t="s">
        <v>108</v>
      </c>
      <c r="D8" s="7">
        <v>1240</v>
      </c>
      <c r="E8" s="8" t="s">
        <v>1</v>
      </c>
      <c r="I8" s="35" t="s">
        <v>131</v>
      </c>
      <c r="J8" s="71" t="s">
        <v>223</v>
      </c>
    </row>
    <row r="9" spans="2:11" x14ac:dyDescent="0.25">
      <c r="C9" s="9" t="s">
        <v>348</v>
      </c>
      <c r="D9" s="57">
        <f>D8*0.7</f>
        <v>868</v>
      </c>
      <c r="E9" s="11" t="s">
        <v>1</v>
      </c>
      <c r="I9" s="35" t="s">
        <v>132</v>
      </c>
      <c r="J9" s="71" t="s">
        <v>223</v>
      </c>
      <c r="K9" t="s">
        <v>359</v>
      </c>
    </row>
    <row r="10" spans="2:11" x14ac:dyDescent="0.25">
      <c r="C10" s="9" t="s">
        <v>89</v>
      </c>
      <c r="D10" s="10">
        <f>(D8/200)^2*PI()*D9/100</f>
        <v>1048.2212915226476</v>
      </c>
      <c r="E10" s="11" t="s">
        <v>3</v>
      </c>
      <c r="I10" s="35" t="s">
        <v>170</v>
      </c>
      <c r="J10" s="71" t="s">
        <v>223</v>
      </c>
      <c r="K10" s="81">
        <f>D10/1000-1</f>
        <v>4.8221291522647647E-2</v>
      </c>
    </row>
    <row r="11" spans="2:11" x14ac:dyDescent="0.25">
      <c r="C11" s="9" t="s">
        <v>105</v>
      </c>
      <c r="D11" s="18">
        <v>2</v>
      </c>
      <c r="E11" s="11" t="s">
        <v>1</v>
      </c>
      <c r="I11" s="35" t="s">
        <v>134</v>
      </c>
      <c r="J11" s="71" t="s">
        <v>223</v>
      </c>
    </row>
    <row r="12" spans="2:11" x14ac:dyDescent="0.25">
      <c r="C12" s="9" t="s">
        <v>106</v>
      </c>
      <c r="D12" s="18">
        <v>3</v>
      </c>
      <c r="E12" s="11" t="s">
        <v>1</v>
      </c>
      <c r="I12" s="35" t="s">
        <v>135</v>
      </c>
      <c r="J12" s="71" t="s">
        <v>223</v>
      </c>
    </row>
    <row r="13" spans="2:11" x14ac:dyDescent="0.25">
      <c r="C13" s="9" t="s">
        <v>224</v>
      </c>
      <c r="D13" s="18">
        <v>40</v>
      </c>
      <c r="E13" s="11" t="s">
        <v>1</v>
      </c>
      <c r="I13" s="35" t="s">
        <v>136</v>
      </c>
      <c r="J13" s="71" t="s">
        <v>223</v>
      </c>
    </row>
    <row r="14" spans="2:11" x14ac:dyDescent="0.25">
      <c r="C14" s="9" t="s">
        <v>107</v>
      </c>
      <c r="D14" s="10">
        <f>D8+2*D11</f>
        <v>1244</v>
      </c>
      <c r="E14" s="11" t="s">
        <v>1</v>
      </c>
      <c r="J14" s="71"/>
    </row>
    <row r="15" spans="2:11" x14ac:dyDescent="0.25">
      <c r="C15" s="9" t="s">
        <v>229</v>
      </c>
      <c r="D15" s="10">
        <f>(D9+D12)*0.25</f>
        <v>217.75</v>
      </c>
      <c r="E15" s="11" t="s">
        <v>1</v>
      </c>
      <c r="I15" s="35" t="s">
        <v>151</v>
      </c>
      <c r="J15" s="71" t="s">
        <v>223</v>
      </c>
      <c r="K15" t="s">
        <v>236</v>
      </c>
    </row>
    <row r="16" spans="2:11" x14ac:dyDescent="0.25">
      <c r="C16" s="9" t="s">
        <v>234</v>
      </c>
      <c r="D16" s="10">
        <f>D8+2*D11</f>
        <v>1244</v>
      </c>
      <c r="E16" s="11" t="s">
        <v>1</v>
      </c>
      <c r="I16" s="35" t="s">
        <v>133</v>
      </c>
      <c r="J16" s="71" t="s">
        <v>223</v>
      </c>
    </row>
    <row r="17" spans="2:10" x14ac:dyDescent="0.25">
      <c r="C17" s="9" t="s">
        <v>222</v>
      </c>
      <c r="D17" s="10">
        <f>D13*2+D16</f>
        <v>1324</v>
      </c>
      <c r="E17" s="11" t="s">
        <v>1</v>
      </c>
      <c r="I17" s="35" t="s">
        <v>148</v>
      </c>
      <c r="J17" s="71" t="s">
        <v>223</v>
      </c>
    </row>
    <row r="18" spans="2:10" x14ac:dyDescent="0.25">
      <c r="C18" s="9" t="s">
        <v>183</v>
      </c>
      <c r="D18" s="10">
        <f>D9+D12</f>
        <v>871</v>
      </c>
      <c r="E18" s="11" t="s">
        <v>1</v>
      </c>
      <c r="I18" s="35" t="s">
        <v>184</v>
      </c>
      <c r="J18" s="71" t="s">
        <v>223</v>
      </c>
    </row>
    <row r="19" spans="2:10" x14ac:dyDescent="0.25">
      <c r="C19" s="60"/>
      <c r="D19" s="16"/>
      <c r="E19" s="60"/>
    </row>
    <row r="20" spans="2:10" x14ac:dyDescent="0.25">
      <c r="B20" s="29" t="s">
        <v>231</v>
      </c>
      <c r="D20" s="10"/>
    </row>
    <row r="21" spans="2:10" x14ac:dyDescent="0.25">
      <c r="C21" s="6" t="s">
        <v>230</v>
      </c>
      <c r="D21" s="40">
        <f>D16+2*D25</f>
        <v>1266.32</v>
      </c>
      <c r="E21" s="8" t="s">
        <v>1</v>
      </c>
      <c r="I21" s="35" t="s">
        <v>147</v>
      </c>
      <c r="J21" s="71" t="s">
        <v>223</v>
      </c>
    </row>
    <row r="22" spans="2:10" x14ac:dyDescent="0.25">
      <c r="C22" s="9" t="s">
        <v>225</v>
      </c>
      <c r="D22" s="12">
        <v>5</v>
      </c>
      <c r="E22" s="11" t="s">
        <v>1</v>
      </c>
      <c r="I22" s="35" t="s">
        <v>139</v>
      </c>
      <c r="J22" s="71" t="s">
        <v>223</v>
      </c>
    </row>
    <row r="23" spans="2:10" x14ac:dyDescent="0.25">
      <c r="C23" s="9" t="s">
        <v>226</v>
      </c>
      <c r="D23" s="63">
        <f>D21+2*D22</f>
        <v>1276.32</v>
      </c>
      <c r="E23" s="11" t="s">
        <v>1</v>
      </c>
      <c r="I23" s="35" t="s">
        <v>211</v>
      </c>
      <c r="J23" s="71" t="s">
        <v>223</v>
      </c>
    </row>
    <row r="24" spans="2:10" x14ac:dyDescent="0.25">
      <c r="C24" s="9" t="s">
        <v>227</v>
      </c>
      <c r="D24" s="12">
        <v>50</v>
      </c>
      <c r="E24" s="11" t="s">
        <v>1</v>
      </c>
      <c r="I24" s="35" t="s">
        <v>152</v>
      </c>
      <c r="J24" s="71" t="s">
        <v>223</v>
      </c>
    </row>
    <row r="25" spans="2:10" x14ac:dyDescent="0.25">
      <c r="C25" s="9" t="s">
        <v>228</v>
      </c>
      <c r="D25" s="74">
        <f>D8*0.009</f>
        <v>11.159999999999998</v>
      </c>
      <c r="E25" s="11" t="s">
        <v>1</v>
      </c>
      <c r="I25" s="35" t="s">
        <v>137</v>
      </c>
      <c r="J25" s="71" t="s">
        <v>223</v>
      </c>
    </row>
    <row r="26" spans="2:10" x14ac:dyDescent="0.25">
      <c r="C26" s="9" t="s">
        <v>232</v>
      </c>
      <c r="D26" s="74">
        <f>(D21+2*D22/3)*PI()</f>
        <v>3988.7335846057922</v>
      </c>
      <c r="E26" s="11" t="s">
        <v>1</v>
      </c>
      <c r="J26" s="71" t="s">
        <v>223</v>
      </c>
    </row>
    <row r="27" spans="2:10" x14ac:dyDescent="0.25">
      <c r="C27" s="9" t="s">
        <v>350</v>
      </c>
      <c r="D27" s="74">
        <f>D23*0.3</f>
        <v>382.89599999999996</v>
      </c>
      <c r="E27" s="11" t="s">
        <v>1</v>
      </c>
      <c r="J27" s="71"/>
    </row>
    <row r="28" spans="2:10" x14ac:dyDescent="0.25">
      <c r="C28" s="13" t="s">
        <v>335</v>
      </c>
      <c r="D28" s="77">
        <v>6</v>
      </c>
      <c r="E28" s="15" t="s">
        <v>1</v>
      </c>
      <c r="J28" s="71"/>
    </row>
    <row r="29" spans="2:10" x14ac:dyDescent="0.25">
      <c r="D29" s="21"/>
    </row>
    <row r="30" spans="2:10" x14ac:dyDescent="0.25">
      <c r="B30" s="29" t="s">
        <v>258</v>
      </c>
      <c r="D30"/>
    </row>
    <row r="31" spans="2:10" x14ac:dyDescent="0.25">
      <c r="B31" s="29"/>
      <c r="C31" s="6" t="s">
        <v>257</v>
      </c>
      <c r="D31" s="7">
        <f>25.4*4.25</f>
        <v>107.94999999999999</v>
      </c>
      <c r="E31" s="8" t="s">
        <v>1</v>
      </c>
      <c r="I31" s="35" t="s">
        <v>214</v>
      </c>
      <c r="J31" s="71" t="s">
        <v>223</v>
      </c>
    </row>
    <row r="32" spans="2:10" x14ac:dyDescent="0.25">
      <c r="B32" s="29"/>
      <c r="C32" s="9" t="s">
        <v>329</v>
      </c>
      <c r="D32" s="12">
        <f>25.4*3</f>
        <v>76.199999999999989</v>
      </c>
      <c r="E32" s="11" t="s">
        <v>1</v>
      </c>
      <c r="I32" s="35" t="s">
        <v>215</v>
      </c>
      <c r="J32" s="71" t="s">
        <v>223</v>
      </c>
    </row>
    <row r="33" spans="2:10" x14ac:dyDescent="0.25">
      <c r="B33" s="29"/>
      <c r="C33" s="9" t="s">
        <v>330</v>
      </c>
      <c r="D33" s="12">
        <f>25.4*9</f>
        <v>228.6</v>
      </c>
      <c r="E33" s="11" t="s">
        <v>1</v>
      </c>
      <c r="J33" s="71" t="s">
        <v>223</v>
      </c>
    </row>
    <row r="34" spans="2:10" x14ac:dyDescent="0.25">
      <c r="B34" s="29"/>
      <c r="C34" s="9" t="s">
        <v>259</v>
      </c>
      <c r="D34" s="12">
        <v>91.3</v>
      </c>
      <c r="E34" s="11" t="s">
        <v>1</v>
      </c>
      <c r="J34" s="71"/>
    </row>
    <row r="35" spans="2:10" x14ac:dyDescent="0.25">
      <c r="B35" s="29"/>
      <c r="C35" s="9" t="s">
        <v>260</v>
      </c>
      <c r="D35" s="12">
        <v>76.2</v>
      </c>
      <c r="E35" s="11" t="s">
        <v>1</v>
      </c>
      <c r="J35" s="71"/>
    </row>
    <row r="36" spans="2:10" x14ac:dyDescent="0.25">
      <c r="B36" s="29"/>
      <c r="C36" s="9" t="s">
        <v>261</v>
      </c>
      <c r="D36" s="12">
        <v>250.1</v>
      </c>
      <c r="E36" s="11" t="s">
        <v>1</v>
      </c>
      <c r="J36" s="71"/>
    </row>
    <row r="37" spans="2:10" x14ac:dyDescent="0.25">
      <c r="B37" s="29"/>
      <c r="C37" s="9"/>
      <c r="D37" s="12"/>
      <c r="E37" s="11"/>
      <c r="J37" s="71"/>
    </row>
    <row r="38" spans="2:10" x14ac:dyDescent="0.25">
      <c r="B38" s="29"/>
      <c r="C38" s="9" t="s">
        <v>267</v>
      </c>
      <c r="D38" s="12">
        <v>133</v>
      </c>
      <c r="E38" s="11" t="s">
        <v>1</v>
      </c>
      <c r="J38" s="71"/>
    </row>
    <row r="39" spans="2:10" x14ac:dyDescent="0.25">
      <c r="B39" s="29"/>
      <c r="C39" s="9" t="s">
        <v>268</v>
      </c>
      <c r="D39" s="12">
        <v>85</v>
      </c>
      <c r="E39" s="11" t="s">
        <v>1</v>
      </c>
      <c r="J39" s="71"/>
    </row>
    <row r="40" spans="2:10" x14ac:dyDescent="0.25">
      <c r="B40" s="29"/>
      <c r="C40" s="9" t="s">
        <v>269</v>
      </c>
      <c r="D40" s="12">
        <v>350</v>
      </c>
      <c r="E40" s="11" t="s">
        <v>1</v>
      </c>
      <c r="J40" s="71"/>
    </row>
    <row r="41" spans="2:10" x14ac:dyDescent="0.25">
      <c r="B41" s="29"/>
      <c r="C41" s="9" t="s">
        <v>270</v>
      </c>
      <c r="D41" s="12">
        <f>4.25*25.4</f>
        <v>107.94999999999999</v>
      </c>
      <c r="E41" s="11" t="s">
        <v>1</v>
      </c>
      <c r="J41" s="71"/>
    </row>
    <row r="42" spans="2:10" x14ac:dyDescent="0.25">
      <c r="B42" s="29"/>
      <c r="C42" s="9" t="s">
        <v>271</v>
      </c>
      <c r="D42" s="12">
        <f>3*25.4</f>
        <v>76.199999999999989</v>
      </c>
      <c r="E42" s="11" t="s">
        <v>1</v>
      </c>
      <c r="J42" s="71"/>
    </row>
    <row r="43" spans="2:10" x14ac:dyDescent="0.25">
      <c r="B43" s="29"/>
      <c r="C43" s="9" t="s">
        <v>272</v>
      </c>
      <c r="D43" s="12">
        <f>9*25.4</f>
        <v>228.6</v>
      </c>
      <c r="E43" s="11" t="s">
        <v>1</v>
      </c>
      <c r="J43" s="71"/>
    </row>
    <row r="44" spans="2:10" x14ac:dyDescent="0.25">
      <c r="B44" s="29"/>
      <c r="C44" s="9" t="s">
        <v>262</v>
      </c>
      <c r="D44" s="12">
        <f>4.25*25.4</f>
        <v>107.94999999999999</v>
      </c>
      <c r="E44" s="11" t="s">
        <v>1</v>
      </c>
      <c r="J44" s="71"/>
    </row>
    <row r="45" spans="2:10" x14ac:dyDescent="0.25">
      <c r="B45" s="29"/>
      <c r="C45" s="9" t="s">
        <v>264</v>
      </c>
      <c r="D45" s="12">
        <f>3*25.4</f>
        <v>76.199999999999989</v>
      </c>
      <c r="E45" s="11" t="s">
        <v>1</v>
      </c>
      <c r="J45" s="71"/>
    </row>
    <row r="46" spans="2:10" x14ac:dyDescent="0.25">
      <c r="B46" s="29"/>
      <c r="C46" s="9" t="s">
        <v>263</v>
      </c>
      <c r="D46" s="12">
        <f>9*25.4</f>
        <v>228.6</v>
      </c>
      <c r="E46" s="11" t="s">
        <v>1</v>
      </c>
      <c r="J46" s="71"/>
    </row>
    <row r="47" spans="2:10" x14ac:dyDescent="0.25">
      <c r="B47" s="29"/>
      <c r="C47" s="9" t="s">
        <v>373</v>
      </c>
      <c r="D47" s="12">
        <v>3</v>
      </c>
      <c r="E47" s="11" t="s">
        <v>1</v>
      </c>
      <c r="J47" s="71"/>
    </row>
    <row r="48" spans="2:10" x14ac:dyDescent="0.25">
      <c r="B48" s="29"/>
      <c r="C48" s="13" t="s">
        <v>282</v>
      </c>
      <c r="D48" s="77">
        <v>15</v>
      </c>
      <c r="E48" s="15" t="s">
        <v>283</v>
      </c>
      <c r="J48" s="71"/>
    </row>
    <row r="49" spans="2:15" x14ac:dyDescent="0.25">
      <c r="B49" s="29"/>
      <c r="D49"/>
      <c r="J49" s="71"/>
    </row>
    <row r="50" spans="2:15" x14ac:dyDescent="0.25">
      <c r="B50" s="29" t="s">
        <v>367</v>
      </c>
      <c r="D50"/>
      <c r="J50" s="71"/>
    </row>
    <row r="51" spans="2:15" x14ac:dyDescent="0.25">
      <c r="C51" s="6" t="s">
        <v>372</v>
      </c>
      <c r="D51" s="45">
        <f>D98+D79+D81+D57+D39</f>
        <v>1588.0725293405426</v>
      </c>
      <c r="E51" s="8" t="s">
        <v>1</v>
      </c>
      <c r="I51" s="35" t="s">
        <v>153</v>
      </c>
    </row>
    <row r="52" spans="2:15" x14ac:dyDescent="0.25">
      <c r="C52" s="9" t="s">
        <v>125</v>
      </c>
      <c r="D52" s="43">
        <f>D85+(D31*2)+(D34)*2+D48*2</f>
        <v>1752.5</v>
      </c>
      <c r="E52" s="11" t="s">
        <v>1</v>
      </c>
      <c r="I52" s="35" t="s">
        <v>140</v>
      </c>
      <c r="J52" s="71" t="s">
        <v>223</v>
      </c>
    </row>
    <row r="53" spans="2:15" x14ac:dyDescent="0.25">
      <c r="C53" s="9" t="s">
        <v>126</v>
      </c>
      <c r="D53" s="43">
        <f>D85+(D31*2)+(D34)*2+D48*2</f>
        <v>1752.5</v>
      </c>
      <c r="E53" s="11" t="s">
        <v>1</v>
      </c>
      <c r="I53" s="35" t="s">
        <v>160</v>
      </c>
      <c r="J53" s="71" t="s">
        <v>223</v>
      </c>
    </row>
    <row r="54" spans="2:15" x14ac:dyDescent="0.25">
      <c r="C54" s="13" t="s">
        <v>265</v>
      </c>
      <c r="D54" s="41">
        <f>D57</f>
        <v>162.55682429952924</v>
      </c>
      <c r="E54" s="15" t="s">
        <v>1</v>
      </c>
      <c r="I54" s="35" t="s">
        <v>237</v>
      </c>
    </row>
    <row r="55" spans="2:15" x14ac:dyDescent="0.25">
      <c r="D55" s="39"/>
    </row>
    <row r="56" spans="2:15" x14ac:dyDescent="0.25">
      <c r="B56" s="29" t="s">
        <v>255</v>
      </c>
      <c r="H56" s="26"/>
    </row>
    <row r="57" spans="2:15" x14ac:dyDescent="0.25">
      <c r="C57" s="6" t="s">
        <v>256</v>
      </c>
      <c r="D57" s="45">
        <f>IF(D77/2.6 &lt;D42+2*D48, D42+2*D48,D77/2.6)</f>
        <v>162.55682429952924</v>
      </c>
      <c r="E57" s="8" t="s">
        <v>1</v>
      </c>
      <c r="H57" s="26"/>
      <c r="I57" s="35" t="s">
        <v>180</v>
      </c>
      <c r="J57" s="71" t="s">
        <v>223</v>
      </c>
    </row>
    <row r="58" spans="2:15" x14ac:dyDescent="0.25">
      <c r="C58" s="9" t="s">
        <v>238</v>
      </c>
      <c r="D58" s="39">
        <f>D80</f>
        <v>422.64774317877607</v>
      </c>
      <c r="E58" s="11" t="s">
        <v>1</v>
      </c>
      <c r="H58" s="26"/>
      <c r="I58" s="35" t="s">
        <v>171</v>
      </c>
      <c r="J58" s="71" t="s">
        <v>223</v>
      </c>
    </row>
    <row r="59" spans="2:15" x14ac:dyDescent="0.25">
      <c r="C59" s="9" t="s">
        <v>286</v>
      </c>
      <c r="D59" s="10">
        <f>(D53-D80)/2+D80</f>
        <v>1087.5738715893881</v>
      </c>
      <c r="E59" s="11" t="s">
        <v>1</v>
      </c>
      <c r="H59" s="26"/>
      <c r="I59" s="73" t="s">
        <v>149</v>
      </c>
      <c r="J59" s="78" t="s">
        <v>287</v>
      </c>
      <c r="K59" s="72" t="s">
        <v>288</v>
      </c>
    </row>
    <row r="60" spans="2:15" x14ac:dyDescent="0.25">
      <c r="C60" s="9" t="s">
        <v>337</v>
      </c>
      <c r="D60" s="12">
        <v>15</v>
      </c>
      <c r="E60" s="11" t="s">
        <v>1</v>
      </c>
      <c r="H60" s="26"/>
      <c r="I60" s="35" t="s">
        <v>169</v>
      </c>
      <c r="J60" s="71"/>
    </row>
    <row r="61" spans="2:15" x14ac:dyDescent="0.25">
      <c r="C61" s="13" t="s">
        <v>338</v>
      </c>
      <c r="D61" s="14">
        <f>D40+24</f>
        <v>374</v>
      </c>
      <c r="E61" s="15" t="s">
        <v>1</v>
      </c>
      <c r="H61" s="26"/>
      <c r="I61" s="35" t="s">
        <v>172</v>
      </c>
      <c r="J61" s="71" t="s">
        <v>223</v>
      </c>
    </row>
    <row r="62" spans="2:15" x14ac:dyDescent="0.25">
      <c r="D62" s="10"/>
      <c r="H62" s="26"/>
    </row>
    <row r="63" spans="2:15" x14ac:dyDescent="0.25">
      <c r="B63" s="29" t="s">
        <v>315</v>
      </c>
      <c r="D63" s="10"/>
      <c r="H63" s="26"/>
      <c r="J63" s="6" t="s">
        <v>361</v>
      </c>
      <c r="K63" s="60" t="s">
        <v>363</v>
      </c>
      <c r="L63" s="60" t="s">
        <v>362</v>
      </c>
      <c r="M63" s="16" t="s">
        <v>364</v>
      </c>
      <c r="N63" s="60"/>
      <c r="O63" s="8"/>
    </row>
    <row r="64" spans="2:15" x14ac:dyDescent="0.25">
      <c r="B64" s="29"/>
      <c r="C64" s="6" t="s">
        <v>336</v>
      </c>
      <c r="D64" s="16">
        <f>ROUNDDOWN((D67-D31-D48)/D38,1)</f>
        <v>4</v>
      </c>
      <c r="E64" s="8"/>
      <c r="H64" s="26"/>
      <c r="J64" s="32">
        <f>D64*D38</f>
        <v>532</v>
      </c>
      <c r="K64" s="39">
        <f>D67</f>
        <v>664.92612841061202</v>
      </c>
      <c r="L64" s="39">
        <f>-(J64-K64)-D31-D48</f>
        <v>9.9761284106120343</v>
      </c>
      <c r="M64" s="10" t="str">
        <f>IF(L64&gt;0,"Spare","Interference")</f>
        <v>Spare</v>
      </c>
      <c r="O64" s="11"/>
    </row>
    <row r="65" spans="2:15" x14ac:dyDescent="0.25">
      <c r="B65" s="29"/>
      <c r="C65" s="9" t="s">
        <v>358</v>
      </c>
      <c r="D65" s="10">
        <f>ROUNDUP(D194/(D38+D60),0)</f>
        <v>8</v>
      </c>
      <c r="E65" s="11"/>
      <c r="H65" s="26"/>
      <c r="J65" s="34">
        <f>D65*(D38+D60)-D60</f>
        <v>1169</v>
      </c>
      <c r="K65" s="41">
        <f>D66</f>
        <v>1087.5738715893881</v>
      </c>
      <c r="L65" s="41">
        <f>J65-K65</f>
        <v>81.426128410611909</v>
      </c>
      <c r="M65" s="61" t="s">
        <v>360</v>
      </c>
      <c r="N65" s="61"/>
      <c r="O65" s="15"/>
    </row>
    <row r="66" spans="2:15" x14ac:dyDescent="0.25">
      <c r="C66" s="9" t="s">
        <v>316</v>
      </c>
      <c r="D66" s="10">
        <f>(D53-D80)/2+D80</f>
        <v>1087.5738715893881</v>
      </c>
      <c r="E66" s="11" t="s">
        <v>1</v>
      </c>
      <c r="H66" s="26"/>
      <c r="J66" s="71"/>
    </row>
    <row r="67" spans="2:15" x14ac:dyDescent="0.25">
      <c r="C67" s="9" t="s">
        <v>317</v>
      </c>
      <c r="D67" s="10">
        <f>D194-D80</f>
        <v>664.92612841061202</v>
      </c>
      <c r="E67" s="11" t="s">
        <v>1</v>
      </c>
      <c r="H67" s="26"/>
      <c r="J67" s="71"/>
    </row>
    <row r="68" spans="2:15" x14ac:dyDescent="0.25">
      <c r="C68" s="9" t="s">
        <v>109</v>
      </c>
      <c r="D68" s="10">
        <f>D77</f>
        <v>422.64774317877607</v>
      </c>
      <c r="E68" s="11" t="s">
        <v>1</v>
      </c>
      <c r="H68" s="26"/>
      <c r="I68" s="35" t="s">
        <v>145</v>
      </c>
      <c r="J68" s="71" t="s">
        <v>223</v>
      </c>
    </row>
    <row r="69" spans="2:15" x14ac:dyDescent="0.25">
      <c r="C69" s="13" t="s">
        <v>129</v>
      </c>
      <c r="D69" s="14">
        <f>D81</f>
        <v>283.17398792977997</v>
      </c>
      <c r="E69" s="15" t="s">
        <v>1</v>
      </c>
      <c r="H69" s="26"/>
      <c r="I69" s="35" t="s">
        <v>179</v>
      </c>
      <c r="J69" s="71" t="s">
        <v>223</v>
      </c>
    </row>
    <row r="70" spans="2:15" x14ac:dyDescent="0.25">
      <c r="D70" s="39"/>
    </row>
    <row r="71" spans="2:15" x14ac:dyDescent="0.25">
      <c r="B71" s="53" t="s">
        <v>177</v>
      </c>
    </row>
    <row r="72" spans="2:15" x14ac:dyDescent="0.25">
      <c r="C72" s="6" t="s">
        <v>266</v>
      </c>
      <c r="D72" s="56">
        <f>D96+D79+D81</f>
        <v>764.99241515358472</v>
      </c>
      <c r="E72" s="8" t="s">
        <v>1</v>
      </c>
      <c r="I72" s="35" t="s">
        <v>156</v>
      </c>
    </row>
    <row r="73" spans="2:15" x14ac:dyDescent="0.25">
      <c r="C73" s="13" t="s">
        <v>178</v>
      </c>
      <c r="D73" s="42">
        <f>D96+D79+D81+D57</f>
        <v>927.54923945311396</v>
      </c>
      <c r="E73" s="15" t="s">
        <v>1</v>
      </c>
      <c r="I73" s="35" t="s">
        <v>157</v>
      </c>
      <c r="J73" t="s">
        <v>280</v>
      </c>
    </row>
    <row r="74" spans="2:15" x14ac:dyDescent="0.25">
      <c r="D74" s="39"/>
    </row>
    <row r="75" spans="2:15" x14ac:dyDescent="0.25">
      <c r="B75" s="29" t="s">
        <v>309</v>
      </c>
      <c r="D75" s="10"/>
      <c r="H75" s="26"/>
    </row>
    <row r="76" spans="2:15" ht="17.25" x14ac:dyDescent="0.25">
      <c r="C76" s="6" t="s">
        <v>123</v>
      </c>
      <c r="D76" s="7">
        <v>65</v>
      </c>
      <c r="E76" s="8" t="s">
        <v>85</v>
      </c>
      <c r="H76" s="26"/>
      <c r="J76" s="71" t="s">
        <v>223</v>
      </c>
      <c r="K76" t="s">
        <v>239</v>
      </c>
    </row>
    <row r="77" spans="2:15" x14ac:dyDescent="0.25">
      <c r="C77" s="9" t="s">
        <v>110</v>
      </c>
      <c r="D77" s="10">
        <f>SQRT(D137/D76*82.5)</f>
        <v>422.64774317877607</v>
      </c>
      <c r="E77" s="11" t="s">
        <v>1</v>
      </c>
      <c r="H77" s="26"/>
      <c r="I77" s="35" t="s">
        <v>144</v>
      </c>
      <c r="J77" s="71" t="s">
        <v>223</v>
      </c>
    </row>
    <row r="78" spans="2:15" x14ac:dyDescent="0.25">
      <c r="C78" s="9" t="s">
        <v>369</v>
      </c>
      <c r="D78" s="10">
        <f>D77+2*D42+2*D48</f>
        <v>605.04774317877605</v>
      </c>
      <c r="E78" s="11" t="s">
        <v>1</v>
      </c>
      <c r="H78" s="26"/>
      <c r="J78" s="71"/>
    </row>
    <row r="79" spans="2:15" x14ac:dyDescent="0.25">
      <c r="C79" s="9" t="s">
        <v>252</v>
      </c>
      <c r="D79" s="10">
        <f>D77*0.79</f>
        <v>333.89171711123311</v>
      </c>
      <c r="E79" s="11" t="s">
        <v>1</v>
      </c>
      <c r="H79" s="26"/>
      <c r="I79" s="35" t="s">
        <v>164</v>
      </c>
      <c r="J79" s="71" t="s">
        <v>223</v>
      </c>
      <c r="K79" s="76"/>
    </row>
    <row r="80" spans="2:15" x14ac:dyDescent="0.25">
      <c r="C80" s="9" t="s">
        <v>253</v>
      </c>
      <c r="D80" s="10">
        <f>D77</f>
        <v>422.64774317877607</v>
      </c>
      <c r="E80" s="11" t="s">
        <v>1</v>
      </c>
      <c r="H80" s="26"/>
      <c r="I80" s="35" t="s">
        <v>167</v>
      </c>
      <c r="J80" s="71" t="s">
        <v>223</v>
      </c>
      <c r="K80" s="75"/>
    </row>
    <row r="81" spans="2:11" x14ac:dyDescent="0.25">
      <c r="C81" s="13" t="s">
        <v>254</v>
      </c>
      <c r="D81" s="14">
        <f>D77*0.67</f>
        <v>283.17398792977997</v>
      </c>
      <c r="E81" s="15" t="s">
        <v>1</v>
      </c>
      <c r="H81" s="26"/>
      <c r="I81" s="35" t="s">
        <v>176</v>
      </c>
      <c r="J81" s="71" t="s">
        <v>223</v>
      </c>
      <c r="K81" s="76"/>
    </row>
    <row r="83" spans="2:11" x14ac:dyDescent="0.25">
      <c r="B83" s="29" t="s">
        <v>119</v>
      </c>
      <c r="D83"/>
    </row>
    <row r="84" spans="2:11" x14ac:dyDescent="0.25">
      <c r="C84" s="6" t="s">
        <v>233</v>
      </c>
      <c r="D84" s="7">
        <v>40</v>
      </c>
      <c r="E84" s="8" t="s">
        <v>1</v>
      </c>
      <c r="I84" s="35" t="s">
        <v>138</v>
      </c>
      <c r="J84" s="71" t="s">
        <v>223</v>
      </c>
    </row>
    <row r="85" spans="2:11" x14ac:dyDescent="0.25">
      <c r="C85" s="9" t="s">
        <v>235</v>
      </c>
      <c r="D85" s="39">
        <f>D84*2+D16</f>
        <v>1324</v>
      </c>
      <c r="E85" s="11" t="s">
        <v>1</v>
      </c>
      <c r="I85" s="35" t="s">
        <v>165</v>
      </c>
      <c r="J85" s="71" t="s">
        <v>223</v>
      </c>
    </row>
    <row r="86" spans="2:11" x14ac:dyDescent="0.25">
      <c r="C86" s="9" t="s">
        <v>120</v>
      </c>
      <c r="D86" s="39">
        <f>(D9+D12)-D15+D42-D28</f>
        <v>723.45</v>
      </c>
      <c r="E86" s="11" t="s">
        <v>1</v>
      </c>
      <c r="I86" s="35" t="s">
        <v>154</v>
      </c>
      <c r="J86" s="71" t="s">
        <v>223</v>
      </c>
      <c r="K86" s="76"/>
    </row>
    <row r="87" spans="2:11" x14ac:dyDescent="0.25">
      <c r="C87" s="9" t="s">
        <v>174</v>
      </c>
      <c r="D87" s="43">
        <f>D52</f>
        <v>1752.5</v>
      </c>
      <c r="E87" s="11" t="s">
        <v>1</v>
      </c>
      <c r="I87" s="35" t="s">
        <v>141</v>
      </c>
      <c r="J87" s="71" t="s">
        <v>223</v>
      </c>
    </row>
    <row r="88" spans="2:11" x14ac:dyDescent="0.25">
      <c r="C88" s="9" t="s">
        <v>173</v>
      </c>
      <c r="D88" s="10">
        <f>D87</f>
        <v>1752.5</v>
      </c>
      <c r="E88" s="11" t="s">
        <v>1</v>
      </c>
      <c r="I88" s="35" t="s">
        <v>161</v>
      </c>
      <c r="J88" s="71" t="s">
        <v>223</v>
      </c>
    </row>
    <row r="89" spans="2:11" x14ac:dyDescent="0.25">
      <c r="C89" s="9" t="s">
        <v>175</v>
      </c>
      <c r="D89" s="43">
        <f>D86</f>
        <v>723.45</v>
      </c>
      <c r="E89" s="11" t="s">
        <v>1</v>
      </c>
      <c r="I89" s="35" t="s">
        <v>155</v>
      </c>
      <c r="J89" s="71" t="s">
        <v>223</v>
      </c>
    </row>
    <row r="90" spans="2:11" x14ac:dyDescent="0.25">
      <c r="C90" s="13" t="s">
        <v>213</v>
      </c>
      <c r="D90" s="42">
        <f>(D52-D85)/2</f>
        <v>214.25</v>
      </c>
      <c r="E90" s="15" t="s">
        <v>1</v>
      </c>
      <c r="I90" s="35" t="s">
        <v>216</v>
      </c>
      <c r="J90" s="71" t="s">
        <v>223</v>
      </c>
    </row>
    <row r="91" spans="2:11" x14ac:dyDescent="0.25">
      <c r="D91" s="43"/>
    </row>
    <row r="92" spans="2:11" x14ac:dyDescent="0.25">
      <c r="B92" s="29" t="s">
        <v>311</v>
      </c>
      <c r="D92" s="26"/>
    </row>
    <row r="93" spans="2:11" x14ac:dyDescent="0.25">
      <c r="B93" s="29"/>
      <c r="C93" s="6" t="s">
        <v>353</v>
      </c>
      <c r="D93" s="45">
        <f>(D94*2+2*D95)/(D14*PI())*D96</f>
        <v>63.990409771309793</v>
      </c>
      <c r="E93" s="8" t="s">
        <v>1</v>
      </c>
      <c r="I93" s="35" t="s">
        <v>158</v>
      </c>
      <c r="J93" s="71" t="s">
        <v>223</v>
      </c>
    </row>
    <row r="94" spans="2:11" x14ac:dyDescent="0.25">
      <c r="C94" s="9" t="s">
        <v>312</v>
      </c>
      <c r="D94" s="10">
        <f>D77</f>
        <v>422.64774317877607</v>
      </c>
      <c r="E94" s="11" t="s">
        <v>1</v>
      </c>
      <c r="I94" s="73" t="s">
        <v>142</v>
      </c>
    </row>
    <row r="95" spans="2:11" x14ac:dyDescent="0.25">
      <c r="C95" s="9" t="s">
        <v>313</v>
      </c>
      <c r="D95" s="10">
        <f>D80</f>
        <v>422.64774317877607</v>
      </c>
      <c r="E95" s="11" t="s">
        <v>1</v>
      </c>
      <c r="I95" s="73" t="s">
        <v>143</v>
      </c>
    </row>
    <row r="96" spans="2:11" x14ac:dyDescent="0.25">
      <c r="C96" s="9" t="s">
        <v>314</v>
      </c>
      <c r="D96" s="10">
        <f>D94*0.35</f>
        <v>147.92671011257161</v>
      </c>
      <c r="E96" s="11" t="s">
        <v>1</v>
      </c>
      <c r="I96" s="35" t="s">
        <v>159</v>
      </c>
    </row>
    <row r="97" spans="2:11" x14ac:dyDescent="0.25">
      <c r="C97" s="9" t="s">
        <v>354</v>
      </c>
      <c r="D97" s="10">
        <f>D14+2*D84</f>
        <v>1324</v>
      </c>
      <c r="E97" s="11" t="s">
        <v>1</v>
      </c>
    </row>
    <row r="98" spans="2:11" x14ac:dyDescent="0.25">
      <c r="C98" s="13" t="s">
        <v>355</v>
      </c>
      <c r="D98" s="14">
        <f>(D9+D12)-D15+D42-D28</f>
        <v>723.45</v>
      </c>
      <c r="E98" s="15" t="s">
        <v>1</v>
      </c>
    </row>
    <row r="100" spans="2:11" x14ac:dyDescent="0.25">
      <c r="B100" s="29" t="s">
        <v>71</v>
      </c>
      <c r="D100" s="26"/>
    </row>
    <row r="101" spans="2:11" x14ac:dyDescent="0.25">
      <c r="C101" s="6" t="s">
        <v>206</v>
      </c>
      <c r="D101" s="7">
        <v>255</v>
      </c>
      <c r="E101" s="8" t="s">
        <v>1</v>
      </c>
      <c r="F101" s="11"/>
      <c r="I101" s="35" t="s">
        <v>185</v>
      </c>
      <c r="J101" s="71" t="s">
        <v>223</v>
      </c>
    </row>
    <row r="102" spans="2:11" x14ac:dyDescent="0.25">
      <c r="C102" s="9" t="s">
        <v>209</v>
      </c>
      <c r="D102" s="18">
        <v>1.6</v>
      </c>
      <c r="E102" s="11" t="s">
        <v>1</v>
      </c>
      <c r="I102" s="35" t="s">
        <v>210</v>
      </c>
      <c r="J102" s="71" t="s">
        <v>223</v>
      </c>
    </row>
    <row r="103" spans="2:11" x14ac:dyDescent="0.25">
      <c r="C103" s="9" t="s">
        <v>207</v>
      </c>
      <c r="D103" s="39">
        <f>D101-2*D102</f>
        <v>251.8</v>
      </c>
      <c r="E103" s="11" t="s">
        <v>1</v>
      </c>
      <c r="I103" s="35" t="s">
        <v>208</v>
      </c>
      <c r="J103" s="71" t="s">
        <v>223</v>
      </c>
    </row>
    <row r="104" spans="2:11" x14ac:dyDescent="0.25">
      <c r="C104" s="9" t="s">
        <v>351</v>
      </c>
      <c r="D104" s="39">
        <f>1.45*D101</f>
        <v>369.75</v>
      </c>
      <c r="E104" s="11" t="s">
        <v>1</v>
      </c>
      <c r="J104" s="71"/>
    </row>
    <row r="105" spans="2:11" x14ac:dyDescent="0.25">
      <c r="C105" s="9" t="s">
        <v>352</v>
      </c>
      <c r="D105" s="39">
        <f>1.12*D101</f>
        <v>285.60000000000002</v>
      </c>
      <c r="E105" s="11" t="s">
        <v>1</v>
      </c>
      <c r="J105" s="71"/>
    </row>
    <row r="106" spans="2:11" x14ac:dyDescent="0.25">
      <c r="C106" s="13" t="s">
        <v>275</v>
      </c>
      <c r="D106" s="59">
        <f>D186</f>
        <v>2.5444187097474944</v>
      </c>
      <c r="E106" s="15" t="s">
        <v>52</v>
      </c>
      <c r="I106" s="68" t="s">
        <v>128</v>
      </c>
    </row>
    <row r="107" spans="2:11" x14ac:dyDescent="0.25">
      <c r="D107" s="43"/>
    </row>
    <row r="108" spans="2:11" x14ac:dyDescent="0.25">
      <c r="B108" s="29" t="s">
        <v>241</v>
      </c>
      <c r="D108" s="10"/>
      <c r="H108" s="26"/>
    </row>
    <row r="109" spans="2:11" x14ac:dyDescent="0.25">
      <c r="B109" s="28"/>
      <c r="C109" s="6" t="s">
        <v>273</v>
      </c>
      <c r="D109" s="16">
        <f>D40</f>
        <v>350</v>
      </c>
      <c r="E109" s="8" t="s">
        <v>1</v>
      </c>
      <c r="H109" s="26"/>
      <c r="I109" s="35" t="s">
        <v>168</v>
      </c>
      <c r="J109" s="71" t="s">
        <v>223</v>
      </c>
    </row>
    <row r="110" spans="2:11" x14ac:dyDescent="0.25">
      <c r="B110" s="28"/>
      <c r="C110" s="9" t="s">
        <v>240</v>
      </c>
      <c r="D110" s="10">
        <f>D39</f>
        <v>85</v>
      </c>
      <c r="E110" s="11" t="s">
        <v>1</v>
      </c>
      <c r="H110" s="26"/>
      <c r="I110" s="35" t="s">
        <v>146</v>
      </c>
      <c r="J110" s="71" t="s">
        <v>223</v>
      </c>
      <c r="K110" s="76"/>
    </row>
    <row r="111" spans="2:11" ht="17.25" x14ac:dyDescent="0.25">
      <c r="B111" s="28"/>
      <c r="C111" s="9" t="s">
        <v>274</v>
      </c>
      <c r="D111" s="10">
        <f>D113/D112</f>
        <v>6339.7161476816409</v>
      </c>
      <c r="E111" s="11" t="s">
        <v>90</v>
      </c>
      <c r="H111" s="26"/>
      <c r="I111" s="35" t="s">
        <v>163</v>
      </c>
      <c r="J111" s="71" t="s">
        <v>223</v>
      </c>
    </row>
    <row r="112" spans="2:11" x14ac:dyDescent="0.25">
      <c r="B112" s="28"/>
      <c r="C112" s="9" t="s">
        <v>297</v>
      </c>
      <c r="D112" s="10">
        <f>D65-1</f>
        <v>7</v>
      </c>
      <c r="E112" s="11"/>
      <c r="H112" s="26"/>
      <c r="I112" s="35" t="s">
        <v>166</v>
      </c>
      <c r="J112" s="71" t="s">
        <v>223</v>
      </c>
    </row>
    <row r="113" spans="2:13" ht="17.25" x14ac:dyDescent="0.25">
      <c r="B113" s="28"/>
      <c r="C113" s="9" t="s">
        <v>298</v>
      </c>
      <c r="D113" s="10">
        <f>D77*D60*D112</f>
        <v>44378.013033771487</v>
      </c>
      <c r="E113" s="11" t="s">
        <v>90</v>
      </c>
      <c r="H113" s="26"/>
      <c r="I113" s="35" t="s">
        <v>162</v>
      </c>
      <c r="J113" s="71" t="s">
        <v>223</v>
      </c>
    </row>
    <row r="114" spans="2:13" x14ac:dyDescent="0.25">
      <c r="B114" s="28"/>
      <c r="C114" s="13" t="s">
        <v>124</v>
      </c>
      <c r="D114" s="14">
        <f>SQRT(D111/PI())*2</f>
        <v>89.84418346016804</v>
      </c>
      <c r="E114" s="15" t="s">
        <v>1</v>
      </c>
      <c r="H114" s="26"/>
      <c r="I114" s="35" t="s">
        <v>150</v>
      </c>
      <c r="J114" s="71" t="s">
        <v>223</v>
      </c>
    </row>
    <row r="115" spans="2:13" x14ac:dyDescent="0.25">
      <c r="D115"/>
    </row>
    <row r="116" spans="2:13" x14ac:dyDescent="0.25">
      <c r="B116" s="29" t="s">
        <v>115</v>
      </c>
    </row>
    <row r="117" spans="2:13" ht="17.25" x14ac:dyDescent="0.25">
      <c r="C117" s="6" t="s">
        <v>247</v>
      </c>
      <c r="D117" s="16">
        <f>(D16/20)^2*PI()</f>
        <v>12154.319321914336</v>
      </c>
      <c r="E117" s="8" t="s">
        <v>2</v>
      </c>
      <c r="G117" t="s">
        <v>248</v>
      </c>
      <c r="J117" s="71" t="s">
        <v>223</v>
      </c>
    </row>
    <row r="118" spans="2:13" x14ac:dyDescent="0.25">
      <c r="C118" s="9" t="s">
        <v>5</v>
      </c>
      <c r="D118" s="10">
        <f>D16*PI()</f>
        <v>3908.1412610657026</v>
      </c>
      <c r="E118" s="11" t="s">
        <v>1</v>
      </c>
      <c r="G118" t="s">
        <v>91</v>
      </c>
      <c r="J118" s="71" t="s">
        <v>223</v>
      </c>
      <c r="M118" s="3"/>
    </row>
    <row r="119" spans="2:13" x14ac:dyDescent="0.25">
      <c r="C119" s="9" t="s">
        <v>276</v>
      </c>
      <c r="D119" s="12">
        <v>60</v>
      </c>
      <c r="E119" s="11" t="s">
        <v>4</v>
      </c>
      <c r="G119" t="s">
        <v>251</v>
      </c>
      <c r="J119" s="71" t="s">
        <v>223</v>
      </c>
    </row>
    <row r="120" spans="2:13" ht="17.25" x14ac:dyDescent="0.25">
      <c r="C120" s="9" t="s">
        <v>249</v>
      </c>
      <c r="D120" s="10">
        <f>D118*D119/1000*((D18-D15-D24)/10)+D117</f>
        <v>26299.83661634165</v>
      </c>
      <c r="E120" s="11" t="s">
        <v>2</v>
      </c>
      <c r="G120" t="str">
        <f>"Bottom area plus side heated at the nominal rate over "&amp;D119&amp;"% of the available area."</f>
        <v>Bottom area plus side heated at the nominal rate over 60% of the available area.</v>
      </c>
      <c r="J120" s="71" t="s">
        <v>223</v>
      </c>
      <c r="L120" s="29"/>
    </row>
    <row r="121" spans="2:13" ht="17.25" x14ac:dyDescent="0.25">
      <c r="C121" s="9" t="s">
        <v>6</v>
      </c>
      <c r="D121" s="18">
        <v>2</v>
      </c>
      <c r="E121" s="11" t="s">
        <v>277</v>
      </c>
      <c r="G121" t="s">
        <v>250</v>
      </c>
      <c r="J121" s="71" t="s">
        <v>223</v>
      </c>
    </row>
    <row r="122" spans="2:13" x14ac:dyDescent="0.25">
      <c r="C122" s="9" t="s">
        <v>7</v>
      </c>
      <c r="D122" s="10">
        <f>D121*D120</f>
        <v>52599.673232683301</v>
      </c>
      <c r="E122" s="11" t="s">
        <v>8</v>
      </c>
      <c r="G122" t="s">
        <v>92</v>
      </c>
      <c r="J122" s="71" t="s">
        <v>223</v>
      </c>
    </row>
    <row r="123" spans="2:13" x14ac:dyDescent="0.25">
      <c r="C123" s="9" t="s">
        <v>9</v>
      </c>
      <c r="D123" s="12">
        <v>90</v>
      </c>
      <c r="E123" s="11" t="s">
        <v>4</v>
      </c>
      <c r="J123" s="71" t="s">
        <v>223</v>
      </c>
    </row>
    <row r="124" spans="2:13" x14ac:dyDescent="0.25">
      <c r="C124" s="9" t="s">
        <v>10</v>
      </c>
      <c r="D124" s="10">
        <f>D123/100*D10</f>
        <v>943.39916237038278</v>
      </c>
      <c r="E124" s="11" t="s">
        <v>3</v>
      </c>
      <c r="J124" s="71" t="s">
        <v>223</v>
      </c>
    </row>
    <row r="125" spans="2:13" x14ac:dyDescent="0.25">
      <c r="C125" s="9" t="s">
        <v>11</v>
      </c>
      <c r="D125" s="12">
        <v>25</v>
      </c>
      <c r="E125" s="30" t="s">
        <v>13</v>
      </c>
      <c r="J125" s="71" t="s">
        <v>223</v>
      </c>
    </row>
    <row r="126" spans="2:13" x14ac:dyDescent="0.25">
      <c r="C126" s="9" t="s">
        <v>12</v>
      </c>
      <c r="D126" s="12">
        <v>95</v>
      </c>
      <c r="E126" s="30" t="s">
        <v>13</v>
      </c>
      <c r="G126" t="s">
        <v>93</v>
      </c>
      <c r="J126" s="71" t="s">
        <v>223</v>
      </c>
      <c r="M126" s="3"/>
    </row>
    <row r="127" spans="2:13" x14ac:dyDescent="0.25">
      <c r="C127" s="9" t="s">
        <v>14</v>
      </c>
      <c r="D127" s="10">
        <f>D126-D125</f>
        <v>70</v>
      </c>
      <c r="E127" s="30" t="s">
        <v>13</v>
      </c>
      <c r="J127" s="71" t="s">
        <v>223</v>
      </c>
      <c r="M127" s="3"/>
    </row>
    <row r="128" spans="2:13" x14ac:dyDescent="0.25">
      <c r="C128" s="9" t="s">
        <v>15</v>
      </c>
      <c r="D128" s="21">
        <f>D124*4.186*D127/1000</f>
        <v>276.43482255776956</v>
      </c>
      <c r="E128" s="30" t="s">
        <v>16</v>
      </c>
      <c r="J128" s="71" t="s">
        <v>223</v>
      </c>
      <c r="M128" s="3"/>
    </row>
    <row r="129" spans="2:13" x14ac:dyDescent="0.25">
      <c r="C129" s="9" t="s">
        <v>17</v>
      </c>
      <c r="D129" s="10">
        <f>D128*1000000/D122/60</f>
        <v>87.590792099574031</v>
      </c>
      <c r="E129" s="30" t="s">
        <v>18</v>
      </c>
      <c r="G129" t="s">
        <v>77</v>
      </c>
      <c r="J129" s="71" t="s">
        <v>223</v>
      </c>
    </row>
    <row r="130" spans="2:13" x14ac:dyDescent="0.25">
      <c r="C130" s="9" t="s">
        <v>19</v>
      </c>
      <c r="D130" s="12">
        <v>5</v>
      </c>
      <c r="E130" s="30" t="s">
        <v>4</v>
      </c>
      <c r="G130" t="s">
        <v>87</v>
      </c>
      <c r="J130" s="71" t="s">
        <v>223</v>
      </c>
      <c r="M130" s="3"/>
    </row>
    <row r="131" spans="2:13" x14ac:dyDescent="0.25">
      <c r="C131" s="13" t="s">
        <v>20</v>
      </c>
      <c r="D131" s="14">
        <f>D129*(100+D130)/100</f>
        <v>91.970331704552734</v>
      </c>
      <c r="E131" s="31" t="s">
        <v>18</v>
      </c>
      <c r="G131" t="str">
        <f>"Expected boiling time for "&amp;ROUND(D124,0)&amp;" litres."</f>
        <v>Expected boiling time for 943 litres.</v>
      </c>
      <c r="J131" s="71" t="s">
        <v>223</v>
      </c>
    </row>
    <row r="133" spans="2:13" x14ac:dyDescent="0.25">
      <c r="B133" s="29" t="s">
        <v>114</v>
      </c>
    </row>
    <row r="134" spans="2:13" x14ac:dyDescent="0.25">
      <c r="C134" s="6" t="s">
        <v>111</v>
      </c>
      <c r="D134" s="7">
        <v>37</v>
      </c>
      <c r="E134" s="8" t="s">
        <v>278</v>
      </c>
      <c r="G134" t="s">
        <v>103</v>
      </c>
      <c r="J134" s="71" t="s">
        <v>223</v>
      </c>
    </row>
    <row r="135" spans="2:13" x14ac:dyDescent="0.25">
      <c r="C135" s="9" t="s">
        <v>112</v>
      </c>
      <c r="D135" s="10">
        <f>D122/(D134/100)</f>
        <v>142161.27900725216</v>
      </c>
      <c r="E135" s="11" t="s">
        <v>8</v>
      </c>
      <c r="G135" t="s">
        <v>78</v>
      </c>
      <c r="J135" s="71" t="s">
        <v>223</v>
      </c>
      <c r="L135" t="s">
        <v>113</v>
      </c>
    </row>
    <row r="136" spans="2:13" x14ac:dyDescent="0.25">
      <c r="C136" s="9" t="s">
        <v>21</v>
      </c>
      <c r="D136" s="12">
        <v>99</v>
      </c>
      <c r="E136" s="11" t="s">
        <v>4</v>
      </c>
      <c r="G136" t="s">
        <v>79</v>
      </c>
      <c r="J136" s="71" t="s">
        <v>223</v>
      </c>
    </row>
    <row r="137" spans="2:13" x14ac:dyDescent="0.25">
      <c r="C137" s="13" t="s">
        <v>86</v>
      </c>
      <c r="D137" s="14">
        <f>D135*(D136/100)</f>
        <v>140739.66621717965</v>
      </c>
      <c r="E137" s="15" t="s">
        <v>8</v>
      </c>
      <c r="G137" t="s">
        <v>88</v>
      </c>
      <c r="J137" s="71" t="s">
        <v>223</v>
      </c>
    </row>
    <row r="138" spans="2:13" x14ac:dyDescent="0.25">
      <c r="D138" s="10"/>
    </row>
    <row r="139" spans="2:13" x14ac:dyDescent="0.25">
      <c r="B139" s="29" t="s">
        <v>116</v>
      </c>
      <c r="D139" s="10"/>
    </row>
    <row r="140" spans="2:13" x14ac:dyDescent="0.25">
      <c r="C140" s="6" t="s">
        <v>29</v>
      </c>
      <c r="D140" s="7" t="s">
        <v>30</v>
      </c>
      <c r="E140" s="8"/>
      <c r="F140" s="8"/>
      <c r="J140" s="71" t="s">
        <v>223</v>
      </c>
    </row>
    <row r="141" spans="2:13" x14ac:dyDescent="0.25">
      <c r="C141" s="9" t="s">
        <v>31</v>
      </c>
      <c r="D141" s="12">
        <v>14</v>
      </c>
      <c r="E141" s="11" t="s">
        <v>32</v>
      </c>
      <c r="F141" s="11"/>
      <c r="J141" s="71" t="s">
        <v>223</v>
      </c>
    </row>
    <row r="142" spans="2:13" x14ac:dyDescent="0.25">
      <c r="C142" s="9" t="s">
        <v>33</v>
      </c>
      <c r="D142" s="17">
        <v>20</v>
      </c>
      <c r="E142" s="11" t="s">
        <v>34</v>
      </c>
      <c r="F142" s="11"/>
      <c r="G142" t="s">
        <v>94</v>
      </c>
      <c r="J142" s="71" t="s">
        <v>223</v>
      </c>
    </row>
    <row r="143" spans="2:13" x14ac:dyDescent="0.25">
      <c r="C143" s="9" t="s">
        <v>28</v>
      </c>
      <c r="D143" s="17">
        <v>5.85</v>
      </c>
      <c r="E143" s="11" t="s">
        <v>4</v>
      </c>
      <c r="F143" s="11"/>
      <c r="G143" t="s">
        <v>95</v>
      </c>
      <c r="J143" s="71" t="s">
        <v>223</v>
      </c>
    </row>
    <row r="144" spans="2:13" ht="18" x14ac:dyDescent="0.35">
      <c r="C144" s="9" t="s">
        <v>35</v>
      </c>
      <c r="D144" s="18">
        <v>19.399999999999999</v>
      </c>
      <c r="E144" s="11" t="s">
        <v>4</v>
      </c>
      <c r="F144" s="11"/>
      <c r="G144" t="s">
        <v>80</v>
      </c>
      <c r="J144" s="71" t="s">
        <v>223</v>
      </c>
    </row>
    <row r="145" spans="2:12" x14ac:dyDescent="0.25">
      <c r="C145" s="9" t="s">
        <v>23</v>
      </c>
      <c r="D145" s="19">
        <f>D142-(D143/100*9*2.592)</f>
        <v>18.635311999999999</v>
      </c>
      <c r="E145" s="11" t="s">
        <v>24</v>
      </c>
      <c r="F145" s="11"/>
      <c r="J145" s="71" t="s">
        <v>223</v>
      </c>
    </row>
    <row r="146" spans="2:12" x14ac:dyDescent="0.25">
      <c r="C146" s="9" t="s">
        <v>25</v>
      </c>
      <c r="D146" s="19">
        <f>(D145*(1-D141/100))-(D141*0.02592)</f>
        <v>15.663488319999999</v>
      </c>
      <c r="E146" s="11" t="s">
        <v>25</v>
      </c>
      <c r="F146" s="11"/>
      <c r="J146" s="71" t="s">
        <v>223</v>
      </c>
    </row>
    <row r="147" spans="2:12" x14ac:dyDescent="0.25">
      <c r="C147" s="9" t="s">
        <v>26</v>
      </c>
      <c r="D147" s="18">
        <v>45.6</v>
      </c>
      <c r="E147" s="11" t="s">
        <v>4</v>
      </c>
      <c r="F147" s="11"/>
      <c r="G147" t="s">
        <v>246</v>
      </c>
      <c r="J147" s="71" t="s">
        <v>223</v>
      </c>
    </row>
    <row r="148" spans="2:12" ht="18" x14ac:dyDescent="0.35">
      <c r="C148" s="9" t="s">
        <v>27</v>
      </c>
      <c r="D148" s="19">
        <f>D147/100*((1-D141/100)/12*44)</f>
        <v>1.4379200000000001</v>
      </c>
      <c r="E148" s="11" t="s">
        <v>97</v>
      </c>
      <c r="F148" s="11"/>
      <c r="G148" t="s">
        <v>96</v>
      </c>
      <c r="J148" s="71" t="s">
        <v>223</v>
      </c>
    </row>
    <row r="149" spans="2:12" x14ac:dyDescent="0.25">
      <c r="C149" s="13" t="s">
        <v>22</v>
      </c>
      <c r="D149" s="20">
        <f>D137/(D146*1000000)*3600</f>
        <v>32.346740906679898</v>
      </c>
      <c r="E149" s="15" t="s">
        <v>39</v>
      </c>
      <c r="F149" s="15"/>
      <c r="J149" s="71" t="s">
        <v>223</v>
      </c>
    </row>
    <row r="150" spans="2:12" x14ac:dyDescent="0.25">
      <c r="D150" s="2"/>
    </row>
    <row r="151" spans="2:12" x14ac:dyDescent="0.25">
      <c r="B151" s="29" t="s">
        <v>117</v>
      </c>
      <c r="D151" s="2"/>
    </row>
    <row r="152" spans="2:12" x14ac:dyDescent="0.25">
      <c r="C152" s="6" t="s">
        <v>48</v>
      </c>
      <c r="D152" s="23"/>
      <c r="E152" s="8"/>
      <c r="F152" s="8"/>
    </row>
    <row r="153" spans="2:12" ht="17.25" x14ac:dyDescent="0.25">
      <c r="C153" s="9" t="s">
        <v>40</v>
      </c>
      <c r="D153" s="17">
        <v>3.56</v>
      </c>
      <c r="E153" s="11" t="s">
        <v>37</v>
      </c>
      <c r="F153" s="11"/>
      <c r="G153" t="s">
        <v>242</v>
      </c>
      <c r="J153" s="71" t="s">
        <v>223</v>
      </c>
    </row>
    <row r="154" spans="2:12" x14ac:dyDescent="0.25">
      <c r="C154" s="9" t="s">
        <v>41</v>
      </c>
      <c r="D154" s="17">
        <v>4.0999999999999996</v>
      </c>
      <c r="E154" s="11" t="s">
        <v>38</v>
      </c>
      <c r="F154" s="11"/>
      <c r="J154" s="71" t="s">
        <v>223</v>
      </c>
    </row>
    <row r="155" spans="2:12" x14ac:dyDescent="0.25">
      <c r="C155" s="9" t="s">
        <v>36</v>
      </c>
      <c r="D155" s="12">
        <v>100</v>
      </c>
      <c r="E155" s="11" t="s">
        <v>4</v>
      </c>
      <c r="F155" s="11"/>
      <c r="J155" s="71" t="s">
        <v>223</v>
      </c>
    </row>
    <row r="156" spans="2:12" ht="17.25" x14ac:dyDescent="0.25">
      <c r="C156" s="9" t="s">
        <v>47</v>
      </c>
      <c r="D156" s="19">
        <f>D154*D155/100+D153</f>
        <v>7.66</v>
      </c>
      <c r="E156" s="11" t="s">
        <v>42</v>
      </c>
      <c r="F156" s="11"/>
      <c r="J156" s="71" t="s">
        <v>223</v>
      </c>
    </row>
    <row r="157" spans="2:12" ht="17.25" x14ac:dyDescent="0.25">
      <c r="C157" s="9" t="s">
        <v>46</v>
      </c>
      <c r="D157" s="19">
        <f>D154+D154*D155/100</f>
        <v>8.1999999999999993</v>
      </c>
      <c r="E157" s="11" t="s">
        <v>42</v>
      </c>
      <c r="F157" s="11"/>
      <c r="G157" t="s">
        <v>81</v>
      </c>
      <c r="J157" s="71" t="s">
        <v>223</v>
      </c>
    </row>
    <row r="158" spans="2:12" ht="17.25" x14ac:dyDescent="0.25">
      <c r="C158" s="9" t="s">
        <v>45</v>
      </c>
      <c r="D158" s="21">
        <f>D156*D149</f>
        <v>247.77603534516803</v>
      </c>
      <c r="E158" s="11" t="s">
        <v>43</v>
      </c>
      <c r="F158" s="11"/>
      <c r="J158" s="71" t="s">
        <v>223</v>
      </c>
      <c r="L158" s="80" t="s">
        <v>339</v>
      </c>
    </row>
    <row r="159" spans="2:12" ht="17.25" x14ac:dyDescent="0.25">
      <c r="C159" s="13" t="s">
        <v>44</v>
      </c>
      <c r="D159" s="22">
        <f>D157*D149</f>
        <v>265.24327543477511</v>
      </c>
      <c r="E159" s="15" t="s">
        <v>43</v>
      </c>
      <c r="F159" s="33" t="str">
        <f>ROUND(D159*1000/3600, 1)&amp;" L/sec"</f>
        <v>73.7 L/sec</v>
      </c>
      <c r="G159" s="9"/>
      <c r="J159" s="71" t="s">
        <v>223</v>
      </c>
    </row>
    <row r="160" spans="2:12" x14ac:dyDescent="0.25">
      <c r="F160" s="11"/>
    </row>
    <row r="161" spans="2:14" x14ac:dyDescent="0.25">
      <c r="B161" s="29" t="s">
        <v>118</v>
      </c>
      <c r="D161"/>
      <c r="F161" s="11"/>
    </row>
    <row r="162" spans="2:14" x14ac:dyDescent="0.25">
      <c r="C162" s="6" t="s">
        <v>49</v>
      </c>
      <c r="D162" s="40">
        <f>D158*1000/3600</f>
        <v>68.826676484768896</v>
      </c>
      <c r="E162" s="8" t="s">
        <v>50</v>
      </c>
      <c r="F162" s="11"/>
      <c r="J162" s="71" t="s">
        <v>223</v>
      </c>
    </row>
    <row r="163" spans="2:14" x14ac:dyDescent="0.25">
      <c r="C163" s="9" t="s">
        <v>51</v>
      </c>
      <c r="D163" s="12">
        <v>900</v>
      </c>
      <c r="E163" s="30" t="s">
        <v>13</v>
      </c>
      <c r="F163" s="48" t="s">
        <v>82</v>
      </c>
      <c r="J163" s="71" t="s">
        <v>223</v>
      </c>
      <c r="M163" s="4" t="s">
        <v>100</v>
      </c>
    </row>
    <row r="164" spans="2:14" ht="17.25" x14ac:dyDescent="0.25">
      <c r="C164" s="9" t="str">
        <f>"Density at "&amp;D163&amp;"°C"</f>
        <v>Density at 900°C</v>
      </c>
      <c r="D164" s="24">
        <v>0.3009</v>
      </c>
      <c r="E164" s="30" t="s">
        <v>53</v>
      </c>
      <c r="F164" s="11"/>
      <c r="I164" s="35" t="s">
        <v>58</v>
      </c>
      <c r="J164" s="71" t="s">
        <v>223</v>
      </c>
      <c r="M164" s="4" t="s">
        <v>58</v>
      </c>
      <c r="N164" t="s">
        <v>59</v>
      </c>
    </row>
    <row r="165" spans="2:14" ht="17.25" x14ac:dyDescent="0.25">
      <c r="B165" s="28" t="s">
        <v>356</v>
      </c>
      <c r="C165" s="9" t="s">
        <v>74</v>
      </c>
      <c r="D165" s="10">
        <f>D159/D164</f>
        <v>881.49975219267242</v>
      </c>
      <c r="E165" s="11" t="s">
        <v>43</v>
      </c>
      <c r="F165" s="11"/>
      <c r="H165" t="s">
        <v>62</v>
      </c>
      <c r="I165" s="65">
        <v>900</v>
      </c>
      <c r="J165" s="5" t="s">
        <v>13</v>
      </c>
      <c r="M165" s="38">
        <v>1000</v>
      </c>
      <c r="N165" s="25">
        <v>0.27729999999999999</v>
      </c>
    </row>
    <row r="166" spans="2:14" x14ac:dyDescent="0.25">
      <c r="C166" s="9" t="s">
        <v>75</v>
      </c>
      <c r="D166" s="10">
        <f>D165/3.6</f>
        <v>244.86104227574234</v>
      </c>
      <c r="E166" s="11" t="s">
        <v>57</v>
      </c>
      <c r="F166" s="11"/>
      <c r="H166" t="s">
        <v>63</v>
      </c>
      <c r="I166" s="65">
        <v>350</v>
      </c>
      <c r="J166" s="5" t="s">
        <v>13</v>
      </c>
      <c r="M166" s="38">
        <v>900</v>
      </c>
      <c r="N166" s="25">
        <v>0.3009</v>
      </c>
    </row>
    <row r="167" spans="2:14" x14ac:dyDescent="0.25">
      <c r="C167" s="9" t="s">
        <v>340</v>
      </c>
      <c r="D167" s="19">
        <f>D166/(D77/1000*D80)</f>
        <v>1.3707636686394189</v>
      </c>
      <c r="E167" s="11" t="s">
        <v>52</v>
      </c>
      <c r="F167" s="11"/>
      <c r="H167" t="s">
        <v>64</v>
      </c>
      <c r="I167" s="35">
        <f>I165-I166</f>
        <v>550</v>
      </c>
      <c r="J167" s="5" t="s">
        <v>13</v>
      </c>
      <c r="M167" s="38">
        <v>800</v>
      </c>
      <c r="N167" s="25">
        <v>0.32890000000000003</v>
      </c>
    </row>
    <row r="168" spans="2:14" x14ac:dyDescent="0.25">
      <c r="C168" s="9" t="s">
        <v>99</v>
      </c>
      <c r="D168" s="10">
        <f>D96</f>
        <v>147.92671011257161</v>
      </c>
      <c r="E168" s="11" t="s">
        <v>1</v>
      </c>
      <c r="F168" s="11"/>
      <c r="H168" t="s">
        <v>102</v>
      </c>
      <c r="I168" s="66">
        <v>0.33500000000000002</v>
      </c>
      <c r="J168" s="5" t="s">
        <v>122</v>
      </c>
      <c r="M168" s="38">
        <v>700</v>
      </c>
      <c r="N168" s="25">
        <v>0.36259999999999998</v>
      </c>
    </row>
    <row r="169" spans="2:14" x14ac:dyDescent="0.25">
      <c r="C169" s="9" t="s">
        <v>341</v>
      </c>
      <c r="D169" s="20">
        <f>D165/3600/(D231/1000*(D96/1000))</f>
        <v>2.4759431464609976</v>
      </c>
      <c r="E169" s="15" t="str">
        <f>"m/sec (@ "&amp;D163&amp;" C)"</f>
        <v>m/sec (@ 900 C)</v>
      </c>
      <c r="F169" s="15"/>
      <c r="H169" t="s">
        <v>65</v>
      </c>
      <c r="I169" s="67">
        <f>I168*I167</f>
        <v>184.25</v>
      </c>
      <c r="J169" s="5" t="s">
        <v>13</v>
      </c>
      <c r="M169" s="34">
        <v>600</v>
      </c>
      <c r="N169" s="15">
        <v>0.40429999999999999</v>
      </c>
    </row>
    <row r="170" spans="2:14" x14ac:dyDescent="0.25">
      <c r="B170" s="28" t="s">
        <v>60</v>
      </c>
      <c r="C170" s="9" t="s">
        <v>98</v>
      </c>
      <c r="D170" s="12">
        <v>535</v>
      </c>
      <c r="E170" s="30" t="s">
        <v>13</v>
      </c>
      <c r="H170" t="s">
        <v>101</v>
      </c>
      <c r="I170" s="67">
        <f>I169+I166</f>
        <v>534.25</v>
      </c>
      <c r="J170" s="5" t="s">
        <v>13</v>
      </c>
      <c r="M170" s="38">
        <v>535</v>
      </c>
      <c r="N170" s="25">
        <f>N171-(M170-M171)/(M169-M171)*(N171-N169)</f>
        <v>0.43835999999999997</v>
      </c>
    </row>
    <row r="171" spans="2:14" x14ac:dyDescent="0.25">
      <c r="C171" s="9" t="s">
        <v>76</v>
      </c>
      <c r="D171" s="24">
        <v>0.43840000000000001</v>
      </c>
      <c r="E171" s="30" t="s">
        <v>61</v>
      </c>
      <c r="F171" s="8"/>
      <c r="H171" t="s">
        <v>66</v>
      </c>
      <c r="J171" s="71" t="s">
        <v>223</v>
      </c>
      <c r="M171" s="38">
        <v>500</v>
      </c>
      <c r="N171" s="25">
        <v>0.45669999999999999</v>
      </c>
    </row>
    <row r="172" spans="2:14" ht="17.25" x14ac:dyDescent="0.25">
      <c r="C172" s="9" t="s">
        <v>54</v>
      </c>
      <c r="D172" s="10">
        <f>D165*(D164/D171)</f>
        <v>605.02571951362938</v>
      </c>
      <c r="E172" s="11" t="s">
        <v>43</v>
      </c>
      <c r="F172" s="48" t="s">
        <v>83</v>
      </c>
      <c r="H172" t="s">
        <v>67</v>
      </c>
      <c r="J172" s="71" t="s">
        <v>223</v>
      </c>
      <c r="M172" s="38">
        <v>350</v>
      </c>
      <c r="N172" s="37">
        <v>0.56699999999999995</v>
      </c>
    </row>
    <row r="173" spans="2:14" x14ac:dyDescent="0.25">
      <c r="C173" s="9" t="s">
        <v>55</v>
      </c>
      <c r="D173" s="10">
        <f>D172/3600*1000</f>
        <v>168.06269986489704</v>
      </c>
      <c r="E173" s="11" t="s">
        <v>57</v>
      </c>
      <c r="F173" s="11"/>
      <c r="J173" s="71" t="s">
        <v>223</v>
      </c>
      <c r="M173" s="38">
        <v>225</v>
      </c>
      <c r="N173" s="37">
        <v>0.70799999999999996</v>
      </c>
    </row>
    <row r="174" spans="2:14" x14ac:dyDescent="0.25">
      <c r="C174" s="9" t="s">
        <v>357</v>
      </c>
      <c r="D174" s="10">
        <f>D93</f>
        <v>63.990409771309793</v>
      </c>
      <c r="E174" s="11" t="s">
        <v>1</v>
      </c>
      <c r="F174" s="11"/>
      <c r="J174" s="71" t="s">
        <v>223</v>
      </c>
    </row>
    <row r="175" spans="2:14" x14ac:dyDescent="0.25">
      <c r="C175" s="9" t="s">
        <v>68</v>
      </c>
      <c r="D175" s="19">
        <f>D172/(D118/1000*(D174/1000))/3600</f>
        <v>0.67202617944082577</v>
      </c>
      <c r="E175" s="11" t="s">
        <v>52</v>
      </c>
      <c r="F175" s="11"/>
      <c r="J175" s="71" t="s">
        <v>223</v>
      </c>
    </row>
    <row r="176" spans="2:14" x14ac:dyDescent="0.25">
      <c r="C176" s="9" t="s">
        <v>243</v>
      </c>
      <c r="D176" s="21">
        <f>D84</f>
        <v>40</v>
      </c>
      <c r="E176" s="11" t="s">
        <v>1</v>
      </c>
      <c r="F176" s="11"/>
      <c r="J176" s="71" t="s">
        <v>223</v>
      </c>
    </row>
    <row r="177" spans="2:11" x14ac:dyDescent="0.25">
      <c r="C177" s="13" t="s">
        <v>69</v>
      </c>
      <c r="D177" s="27">
        <f>(D172/3600)/((((D16+2*D176)/2)^2*PI()/1000000)-((D16/2)^2*PI()/1000000))</f>
        <v>1.041589152370249</v>
      </c>
      <c r="E177" s="15" t="s">
        <v>52</v>
      </c>
      <c r="F177" s="58"/>
      <c r="J177" s="71" t="s">
        <v>223</v>
      </c>
    </row>
    <row r="179" spans="2:11" x14ac:dyDescent="0.25">
      <c r="B179" s="53" t="s">
        <v>127</v>
      </c>
    </row>
    <row r="180" spans="2:11" x14ac:dyDescent="0.25">
      <c r="B180" s="28" t="s">
        <v>342</v>
      </c>
      <c r="C180" s="6" t="s">
        <v>70</v>
      </c>
      <c r="D180" s="7">
        <v>350</v>
      </c>
      <c r="E180" s="44" t="s">
        <v>121</v>
      </c>
      <c r="F180" s="52" t="s">
        <v>84</v>
      </c>
      <c r="J180" s="71" t="s">
        <v>223</v>
      </c>
    </row>
    <row r="181" spans="2:11" x14ac:dyDescent="0.25">
      <c r="C181" s="9" t="s">
        <v>76</v>
      </c>
      <c r="D181" s="24">
        <v>0.56699999999999995</v>
      </c>
      <c r="E181" s="30" t="s">
        <v>61</v>
      </c>
      <c r="F181" s="11"/>
      <c r="J181" s="71" t="s">
        <v>223</v>
      </c>
      <c r="K181" t="s">
        <v>289</v>
      </c>
    </row>
    <row r="182" spans="2:11" x14ac:dyDescent="0.25">
      <c r="C182" s="9" t="s">
        <v>72</v>
      </c>
      <c r="D182" s="39">
        <f>D164/D181*D166</f>
        <v>129.94477534527491</v>
      </c>
      <c r="E182" s="30" t="s">
        <v>56</v>
      </c>
      <c r="F182" s="11"/>
      <c r="J182" s="71" t="s">
        <v>223</v>
      </c>
    </row>
    <row r="183" spans="2:11" x14ac:dyDescent="0.25">
      <c r="C183" s="9" t="s">
        <v>244</v>
      </c>
      <c r="D183" s="10">
        <f>D101</f>
        <v>255</v>
      </c>
      <c r="E183" s="30" t="s">
        <v>1</v>
      </c>
      <c r="F183" s="11"/>
      <c r="J183" s="71" t="s">
        <v>223</v>
      </c>
    </row>
    <row r="184" spans="2:11" x14ac:dyDescent="0.25">
      <c r="C184" s="9" t="s">
        <v>245</v>
      </c>
      <c r="D184" s="10">
        <f>1.84*D183</f>
        <v>469.20000000000005</v>
      </c>
      <c r="E184" s="30" t="s">
        <v>1</v>
      </c>
      <c r="F184" s="11"/>
      <c r="J184" s="71" t="s">
        <v>223</v>
      </c>
    </row>
    <row r="185" spans="2:11" x14ac:dyDescent="0.25">
      <c r="C185" s="9" t="s">
        <v>343</v>
      </c>
      <c r="D185" s="19">
        <f>(D182/1000)/((D183/1000*25/1000)*2+(D184/1000*25/1000)*2)</f>
        <v>3.5886433401070112</v>
      </c>
      <c r="E185" s="11" t="s">
        <v>52</v>
      </c>
      <c r="F185" s="11"/>
      <c r="J185" s="71" t="s">
        <v>223</v>
      </c>
    </row>
    <row r="186" spans="2:11" x14ac:dyDescent="0.25">
      <c r="C186" s="13" t="str">
        <f>"Gas velocity in chimney @ "&amp;D180&amp;"°"</f>
        <v>Gas velocity in chimney @ 350°</v>
      </c>
      <c r="D186" s="20">
        <f>D182/(((D101/100)/2)^2*PI())/10</f>
        <v>2.5444187097474944</v>
      </c>
      <c r="E186" s="15" t="str">
        <f>"m/sec at "&amp;ROUND(D137/1000,1)&amp;" kW"</f>
        <v>m/sec at 140.7 kW</v>
      </c>
      <c r="F186" s="15"/>
      <c r="J186" s="71" t="s">
        <v>223</v>
      </c>
    </row>
    <row r="187" spans="2:11" x14ac:dyDescent="0.25">
      <c r="D187" s="2"/>
      <c r="J187" s="71" t="s">
        <v>223</v>
      </c>
      <c r="K187" s="4" t="s">
        <v>73</v>
      </c>
    </row>
    <row r="188" spans="2:11" x14ac:dyDescent="0.25">
      <c r="B188" s="29" t="s">
        <v>195</v>
      </c>
    </row>
    <row r="189" spans="2:11" x14ac:dyDescent="0.25">
      <c r="B189" s="29" t="s">
        <v>290</v>
      </c>
      <c r="C189" s="6" t="s">
        <v>281</v>
      </c>
      <c r="D189" s="16">
        <f>D57-D48</f>
        <v>147.55682429952924</v>
      </c>
      <c r="E189" s="8" t="s">
        <v>1</v>
      </c>
      <c r="I189" s="35" t="s">
        <v>180</v>
      </c>
    </row>
    <row r="190" spans="2:11" x14ac:dyDescent="0.25">
      <c r="B190" s="29"/>
      <c r="C190" s="9" t="s">
        <v>292</v>
      </c>
      <c r="D190" s="10">
        <f>D53</f>
        <v>1752.5</v>
      </c>
      <c r="E190" s="11" t="s">
        <v>1</v>
      </c>
      <c r="I190" s="35" t="str">
        <f>I53</f>
        <v>L1</v>
      </c>
    </row>
    <row r="191" spans="2:11" x14ac:dyDescent="0.25">
      <c r="B191" s="29"/>
      <c r="C191" s="9" t="s">
        <v>291</v>
      </c>
      <c r="D191" s="10">
        <f>D52</f>
        <v>1752.5</v>
      </c>
      <c r="E191" s="11" t="s">
        <v>1</v>
      </c>
      <c r="I191" s="35" t="str">
        <f>I52</f>
        <v>W3</v>
      </c>
    </row>
    <row r="192" spans="2:11" x14ac:dyDescent="0.25">
      <c r="B192" s="29"/>
      <c r="C192" s="9" t="s">
        <v>293</v>
      </c>
      <c r="D192" s="10">
        <f>D58</f>
        <v>422.64774317877607</v>
      </c>
      <c r="E192" s="11" t="s">
        <v>1</v>
      </c>
      <c r="I192" s="79" t="str">
        <f>I58</f>
        <v>W12</v>
      </c>
    </row>
    <row r="193" spans="2:10" x14ac:dyDescent="0.25">
      <c r="C193" s="9" t="s">
        <v>279</v>
      </c>
      <c r="D193" s="10">
        <f>D190-D194</f>
        <v>664.92612841061191</v>
      </c>
      <c r="E193" s="11" t="s">
        <v>1</v>
      </c>
      <c r="I193" s="35" t="s">
        <v>189</v>
      </c>
    </row>
    <row r="194" spans="2:10" x14ac:dyDescent="0.25">
      <c r="C194" s="9" t="s">
        <v>186</v>
      </c>
      <c r="D194" s="10">
        <f>D53/2+D58/2</f>
        <v>1087.5738715893881</v>
      </c>
      <c r="E194" s="11" t="s">
        <v>1</v>
      </c>
      <c r="I194" s="35" t="s">
        <v>190</v>
      </c>
    </row>
    <row r="195" spans="2:10" x14ac:dyDescent="0.25">
      <c r="C195" s="9" t="s">
        <v>187</v>
      </c>
      <c r="D195" s="10">
        <f>D53/2+D58/2+15-D109-D110</f>
        <v>667.57387158938809</v>
      </c>
      <c r="E195" s="11" t="s">
        <v>1</v>
      </c>
      <c r="I195" s="35" t="s">
        <v>191</v>
      </c>
      <c r="J195" t="s">
        <v>280</v>
      </c>
    </row>
    <row r="196" spans="2:10" x14ac:dyDescent="0.25">
      <c r="C196" s="9" t="s">
        <v>188</v>
      </c>
      <c r="D196" s="10">
        <f>D194-D195</f>
        <v>420</v>
      </c>
      <c r="E196" s="11" t="s">
        <v>1</v>
      </c>
      <c r="I196" s="35" t="s">
        <v>192</v>
      </c>
      <c r="J196" t="s">
        <v>280</v>
      </c>
    </row>
    <row r="197" spans="2:10" x14ac:dyDescent="0.25">
      <c r="C197" s="13" t="s">
        <v>193</v>
      </c>
      <c r="D197" s="14">
        <f>(D190-D58)/2</f>
        <v>664.92612841061191</v>
      </c>
      <c r="E197" s="15" t="s">
        <v>1</v>
      </c>
      <c r="I197" s="35" t="s">
        <v>194</v>
      </c>
    </row>
    <row r="199" spans="2:10" x14ac:dyDescent="0.25">
      <c r="B199" s="29" t="s">
        <v>199</v>
      </c>
    </row>
    <row r="200" spans="2:10" x14ac:dyDescent="0.25">
      <c r="B200" s="29" t="s">
        <v>290</v>
      </c>
      <c r="C200" s="6" t="s">
        <v>284</v>
      </c>
      <c r="D200" s="16">
        <f>D189+D39+D48-5</f>
        <v>242.55682429952924</v>
      </c>
      <c r="E200" s="8" t="s">
        <v>1</v>
      </c>
      <c r="I200" s="35" t="s">
        <v>176</v>
      </c>
    </row>
    <row r="201" spans="2:10" x14ac:dyDescent="0.25">
      <c r="C201" s="9" t="s">
        <v>295</v>
      </c>
      <c r="D201" s="10">
        <f>D200</f>
        <v>242.55682429952924</v>
      </c>
      <c r="E201" s="11" t="s">
        <v>1</v>
      </c>
      <c r="I201" s="35" t="s">
        <v>145</v>
      </c>
    </row>
    <row r="202" spans="2:10" x14ac:dyDescent="0.25">
      <c r="C202" s="9" t="s">
        <v>296</v>
      </c>
      <c r="D202" s="10">
        <f>D65*D38+(D65-1)*D60</f>
        <v>1169</v>
      </c>
      <c r="E202" s="11" t="s">
        <v>1</v>
      </c>
      <c r="I202" s="73" t="s">
        <v>196</v>
      </c>
      <c r="J202" t="s">
        <v>280</v>
      </c>
    </row>
    <row r="203" spans="2:10" x14ac:dyDescent="0.25">
      <c r="C203" s="9" t="s">
        <v>294</v>
      </c>
      <c r="D203" s="10">
        <f>D204+2*D41</f>
        <v>595.9</v>
      </c>
      <c r="E203" s="11" t="s">
        <v>1</v>
      </c>
      <c r="I203" s="73" t="s">
        <v>197</v>
      </c>
    </row>
    <row r="204" spans="2:10" x14ac:dyDescent="0.25">
      <c r="C204" s="13" t="s">
        <v>299</v>
      </c>
      <c r="D204" s="14">
        <f>D40+2*D48</f>
        <v>380</v>
      </c>
      <c r="E204" s="15" t="s">
        <v>1</v>
      </c>
      <c r="I204" s="73" t="s">
        <v>198</v>
      </c>
      <c r="J204" t="s">
        <v>280</v>
      </c>
    </row>
    <row r="206" spans="2:10" x14ac:dyDescent="0.25">
      <c r="B206" s="29" t="s">
        <v>200</v>
      </c>
    </row>
    <row r="207" spans="2:10" x14ac:dyDescent="0.25">
      <c r="B207" s="29" t="s">
        <v>290</v>
      </c>
      <c r="C207" s="6" t="s">
        <v>285</v>
      </c>
      <c r="D207" s="16">
        <f>D189+D200</f>
        <v>390.11364859905848</v>
      </c>
      <c r="E207" s="8" t="s">
        <v>1</v>
      </c>
      <c r="I207" s="35" t="s">
        <v>164</v>
      </c>
    </row>
    <row r="208" spans="2:10" x14ac:dyDescent="0.25">
      <c r="C208" s="9" t="s">
        <v>300</v>
      </c>
      <c r="D208" s="10">
        <f>D192+160</f>
        <v>582.64774317877607</v>
      </c>
      <c r="E208" s="11" t="s">
        <v>1</v>
      </c>
      <c r="I208" s="73" t="s">
        <v>201</v>
      </c>
      <c r="J208" t="s">
        <v>303</v>
      </c>
    </row>
    <row r="209" spans="2:9" x14ac:dyDescent="0.25">
      <c r="C209" s="9" t="s">
        <v>301</v>
      </c>
      <c r="D209" s="10">
        <f>D31+D48</f>
        <v>122.94999999999999</v>
      </c>
      <c r="E209" s="11" t="s">
        <v>1</v>
      </c>
      <c r="I209" s="73" t="s">
        <v>202</v>
      </c>
    </row>
    <row r="210" spans="2:9" x14ac:dyDescent="0.25">
      <c r="C210" s="9" t="s">
        <v>306</v>
      </c>
      <c r="D210" s="10">
        <f>D77</f>
        <v>422.64774317877607</v>
      </c>
      <c r="E210" s="11" t="s">
        <v>1</v>
      </c>
      <c r="I210" s="35" t="str">
        <f>I77</f>
        <v>W10</v>
      </c>
    </row>
    <row r="211" spans="2:9" x14ac:dyDescent="0.25">
      <c r="C211" s="13" t="s">
        <v>302</v>
      </c>
      <c r="D211" s="14">
        <f>D194</f>
        <v>1087.5738715893881</v>
      </c>
      <c r="E211" s="15" t="s">
        <v>1</v>
      </c>
      <c r="I211" s="73" t="s">
        <v>203</v>
      </c>
    </row>
    <row r="213" spans="2:9" x14ac:dyDescent="0.25">
      <c r="B213" s="29" t="s">
        <v>204</v>
      </c>
    </row>
    <row r="214" spans="2:9" x14ac:dyDescent="0.25">
      <c r="B214" s="29" t="s">
        <v>290</v>
      </c>
      <c r="C214" s="6" t="s">
        <v>304</v>
      </c>
      <c r="D214" s="16">
        <f>D207+D189</f>
        <v>537.67047289858772</v>
      </c>
      <c r="E214" s="8" t="s">
        <v>1</v>
      </c>
      <c r="I214" s="35" t="s">
        <v>159</v>
      </c>
    </row>
    <row r="215" spans="2:9" x14ac:dyDescent="0.25">
      <c r="C215" s="9" t="s">
        <v>308</v>
      </c>
      <c r="D215" s="10">
        <f>D214-D200</f>
        <v>295.11364859905848</v>
      </c>
      <c r="E215" s="11" t="s">
        <v>1</v>
      </c>
    </row>
    <row r="216" spans="2:9" x14ac:dyDescent="0.25">
      <c r="C216" s="13" t="s">
        <v>300</v>
      </c>
      <c r="D216" s="14">
        <f>D208</f>
        <v>582.64774317877607</v>
      </c>
      <c r="E216" s="15" t="s">
        <v>1</v>
      </c>
      <c r="I216" s="73" t="s">
        <v>142</v>
      </c>
    </row>
    <row r="218" spans="2:9" x14ac:dyDescent="0.25">
      <c r="B218" s="29" t="s">
        <v>205</v>
      </c>
    </row>
    <row r="219" spans="2:9" x14ac:dyDescent="0.25">
      <c r="B219" s="29" t="s">
        <v>290</v>
      </c>
      <c r="C219" s="6" t="s">
        <v>307</v>
      </c>
      <c r="D219" s="16">
        <f>D214+D189-5</f>
        <v>680.22729719811696</v>
      </c>
      <c r="E219" s="8" t="s">
        <v>1</v>
      </c>
      <c r="I219" s="73" t="s">
        <v>142</v>
      </c>
    </row>
    <row r="220" spans="2:9" x14ac:dyDescent="0.25">
      <c r="B220" s="29"/>
      <c r="C220" s="9" t="s">
        <v>300</v>
      </c>
      <c r="D220" s="10">
        <f>D216-148</f>
        <v>434.64774317877607</v>
      </c>
      <c r="E220" s="11" t="s">
        <v>1</v>
      </c>
      <c r="I220" s="73" t="s">
        <v>142</v>
      </c>
    </row>
    <row r="221" spans="2:9" x14ac:dyDescent="0.25">
      <c r="B221" s="29"/>
      <c r="C221" s="9" t="str">
        <f>C204</f>
        <v>Width to accommodate U-channels</v>
      </c>
      <c r="D221" s="39">
        <f>D204</f>
        <v>380</v>
      </c>
      <c r="E221" s="11" t="s">
        <v>1</v>
      </c>
      <c r="I221" s="73" t="s">
        <v>142</v>
      </c>
    </row>
    <row r="222" spans="2:9" x14ac:dyDescent="0.25">
      <c r="B222" s="29"/>
      <c r="C222" s="9" t="s">
        <v>310</v>
      </c>
      <c r="D222" s="39">
        <f>D67</f>
        <v>664.92612841061202</v>
      </c>
      <c r="E222" s="11" t="s">
        <v>1</v>
      </c>
    </row>
    <row r="223" spans="2:9" x14ac:dyDescent="0.25">
      <c r="B223" s="29"/>
      <c r="C223" s="9" t="s">
        <v>319</v>
      </c>
      <c r="D223" s="39">
        <f>D215+3</f>
        <v>298.11364859905848</v>
      </c>
      <c r="E223" s="11" t="s">
        <v>1</v>
      </c>
    </row>
    <row r="224" spans="2:9" x14ac:dyDescent="0.25">
      <c r="B224" s="29"/>
      <c r="C224" s="9" t="s">
        <v>253</v>
      </c>
      <c r="D224" s="39">
        <f>D211-D222</f>
        <v>422.64774317877607</v>
      </c>
      <c r="E224" s="11" t="s">
        <v>1</v>
      </c>
    </row>
    <row r="225" spans="2:9" x14ac:dyDescent="0.25">
      <c r="B225" s="29"/>
      <c r="C225" s="13" t="s">
        <v>318</v>
      </c>
      <c r="D225" s="41">
        <f>D210</f>
        <v>422.64774317877607</v>
      </c>
      <c r="E225" s="15" t="s">
        <v>1</v>
      </c>
    </row>
    <row r="226" spans="2:9" x14ac:dyDescent="0.25">
      <c r="B226" s="29"/>
      <c r="D226" s="63"/>
    </row>
    <row r="227" spans="2:9" x14ac:dyDescent="0.25">
      <c r="B227" s="29" t="s">
        <v>305</v>
      </c>
    </row>
    <row r="228" spans="2:9" x14ac:dyDescent="0.25">
      <c r="B228" s="29" t="s">
        <v>290</v>
      </c>
      <c r="C228" s="6" t="s">
        <v>320</v>
      </c>
      <c r="D228" s="16">
        <f>D219+D189</f>
        <v>827.7841214976462</v>
      </c>
      <c r="E228" s="8" t="s">
        <v>1</v>
      </c>
    </row>
    <row r="229" spans="2:9" x14ac:dyDescent="0.25">
      <c r="C229" s="9" t="s">
        <v>321</v>
      </c>
      <c r="D229" s="10">
        <f>D228-D42+D41</f>
        <v>859.53412149764631</v>
      </c>
      <c r="E229" s="11" t="s">
        <v>1</v>
      </c>
      <c r="I229" s="35" t="s">
        <v>383</v>
      </c>
    </row>
    <row r="230" spans="2:9" x14ac:dyDescent="0.25">
      <c r="C230" s="9" t="s">
        <v>344</v>
      </c>
      <c r="D230" s="39"/>
      <c r="E230" s="11"/>
    </row>
    <row r="231" spans="2:9" x14ac:dyDescent="0.25">
      <c r="C231" s="9" t="s">
        <v>332</v>
      </c>
      <c r="D231" s="39">
        <f>D232+2*D41+2*D48</f>
        <v>668.54774317877605</v>
      </c>
      <c r="E231" s="11" t="s">
        <v>1</v>
      </c>
    </row>
    <row r="232" spans="2:9" x14ac:dyDescent="0.25">
      <c r="C232" s="9" t="s">
        <v>253</v>
      </c>
      <c r="D232" s="39">
        <f>D224</f>
        <v>422.64774317877607</v>
      </c>
      <c r="E232" s="11" t="s">
        <v>1</v>
      </c>
    </row>
    <row r="233" spans="2:9" x14ac:dyDescent="0.25">
      <c r="C233" s="9" t="s">
        <v>322</v>
      </c>
      <c r="D233" s="39">
        <f>D228-D200</f>
        <v>585.22729719811696</v>
      </c>
      <c r="E233" s="11" t="s">
        <v>1</v>
      </c>
    </row>
    <row r="234" spans="2:9" x14ac:dyDescent="0.25">
      <c r="C234" s="13" t="s">
        <v>323</v>
      </c>
      <c r="D234" s="41">
        <f>D233-D223+D41-D42</f>
        <v>318.86364859905848</v>
      </c>
      <c r="E234" s="15" t="s">
        <v>1</v>
      </c>
    </row>
    <row r="236" spans="2:9" x14ac:dyDescent="0.25">
      <c r="B236" s="29" t="s">
        <v>324</v>
      </c>
    </row>
    <row r="237" spans="2:9" x14ac:dyDescent="0.25">
      <c r="B237" s="29" t="s">
        <v>290</v>
      </c>
      <c r="C237" s="6" t="s">
        <v>325</v>
      </c>
      <c r="D237" s="16">
        <f>D228+D189</f>
        <v>975.34094579717544</v>
      </c>
      <c r="E237" s="8" t="s">
        <v>1</v>
      </c>
    </row>
    <row r="238" spans="2:9" x14ac:dyDescent="0.25">
      <c r="C238" s="9" t="s">
        <v>326</v>
      </c>
      <c r="D238" s="10">
        <f>D237+(D229-D228)</f>
        <v>1007.0909457971756</v>
      </c>
      <c r="E238" s="11" t="s">
        <v>1</v>
      </c>
    </row>
    <row r="239" spans="2:9" x14ac:dyDescent="0.25">
      <c r="C239" s="9" t="s">
        <v>327</v>
      </c>
      <c r="D239" s="39">
        <f>D14+2*D84</f>
        <v>1324</v>
      </c>
      <c r="E239" s="11" t="s">
        <v>1</v>
      </c>
    </row>
    <row r="240" spans="2:9" x14ac:dyDescent="0.25">
      <c r="C240" s="9" t="s">
        <v>328</v>
      </c>
      <c r="D240" s="39">
        <f>(D34*1.08)*2+D239</f>
        <v>1521.2080000000001</v>
      </c>
      <c r="E240" s="11" t="s">
        <v>1</v>
      </c>
    </row>
    <row r="241" spans="2:5" x14ac:dyDescent="0.25">
      <c r="C241" s="13" t="s">
        <v>331</v>
      </c>
      <c r="D241" s="41">
        <f>D87-(2*D31)</f>
        <v>1536.6</v>
      </c>
      <c r="E241" s="15" t="s">
        <v>1</v>
      </c>
    </row>
    <row r="243" spans="2:5" x14ac:dyDescent="0.25">
      <c r="B243" s="29" t="s">
        <v>333</v>
      </c>
    </row>
    <row r="244" spans="2:5" x14ac:dyDescent="0.25">
      <c r="B244" s="29" t="s">
        <v>290</v>
      </c>
      <c r="C244" s="6" t="s">
        <v>334</v>
      </c>
      <c r="D244" s="16">
        <f>D237+5*(D189-5)-15</f>
        <v>1673.1250672948217</v>
      </c>
      <c r="E244" s="8" t="s">
        <v>1</v>
      </c>
    </row>
    <row r="245" spans="2:5" x14ac:dyDescent="0.25">
      <c r="C245" s="9" t="s">
        <v>345</v>
      </c>
      <c r="D245" s="10">
        <f>D237+5*(D189-5)</f>
        <v>1688.1250672948217</v>
      </c>
      <c r="E245" s="11" t="s">
        <v>1</v>
      </c>
    </row>
    <row r="246" spans="2:5" x14ac:dyDescent="0.25">
      <c r="C246" s="9" t="s">
        <v>346</v>
      </c>
      <c r="D246" s="10">
        <f>((D87-D23)/2)*SIN(0.063)+D245</f>
        <v>1703.1148169820076</v>
      </c>
      <c r="E246" s="11" t="s">
        <v>1</v>
      </c>
    </row>
    <row r="247" spans="2:5" x14ac:dyDescent="0.25">
      <c r="C247" s="13" t="s">
        <v>347</v>
      </c>
      <c r="D247" s="14">
        <f>D238+4*(D35+D48+1)</f>
        <v>1375.8909457971756</v>
      </c>
      <c r="E247" s="15" t="s">
        <v>1</v>
      </c>
    </row>
  </sheetData>
  <conditionalFormatting sqref="L6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Dimensions</vt:lpstr>
      <vt:lpstr>MEMD 50</vt:lpstr>
      <vt:lpstr>MEMD 100</vt:lpstr>
      <vt:lpstr>MEMD 150</vt:lpstr>
      <vt:lpstr>MEMD 200</vt:lpstr>
      <vt:lpstr>MEMD 250</vt:lpstr>
      <vt:lpstr>MEMD 300</vt:lpstr>
      <vt:lpstr>MEMD 500</vt:lpstr>
      <vt:lpstr>MEMD 1000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Crispin</dc:creator>
  <cp:lastModifiedBy>Crispin Pemberton-Pigott</cp:lastModifiedBy>
  <cp:lastPrinted>2024-11-25T16:46:58Z</cp:lastPrinted>
  <dcterms:created xsi:type="dcterms:W3CDTF">2023-05-20T17:13:43Z</dcterms:created>
  <dcterms:modified xsi:type="dcterms:W3CDTF">2025-01-27T04:14:45Z</dcterms:modified>
</cp:coreProperties>
</file>